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/comment1.xml" ContentType="application/vnd.openxmlformats-officedocument.spreadsheetml.comments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Sales Pipeline" sheetId="3" state="visible" r:id="rId3"/>
    <sheet xmlns:r="http://schemas.openxmlformats.org/officeDocument/2006/relationships" name="Exec Summary" sheetId="4" state="visible" r:id="rId4"/>
    <sheet xmlns:r="http://schemas.openxmlformats.org/officeDocument/2006/relationships" name="Income Statement" sheetId="5" state="visible" r:id="rId5"/>
    <sheet xmlns:r="http://schemas.openxmlformats.org/officeDocument/2006/relationships" name="Cash Flow" sheetId="6" state="visible" r:id="rId6"/>
    <sheet xmlns:r="http://schemas.openxmlformats.org/officeDocument/2006/relationships" name="Balance Sheet" sheetId="7" state="visible" r:id="rId7"/>
    <sheet xmlns:r="http://schemas.openxmlformats.org/officeDocument/2006/relationships" name="Model" sheetId="8" state="visible" r:id="rId8"/>
    <sheet xmlns:r="http://schemas.openxmlformats.org/officeDocument/2006/relationships" name="Acme Corp Operating Plan Tests" sheetId="9" state="hidden" r:id="rId9"/>
  </sheets>
  <definedNames>
    <definedName name="example_operating_plan_sales_pipeline__rollup__pipeline_expected_revenue">'Sales Pipeline'!$K$7:$AP$7</definedName>
    <definedName name="example_operating_plan_sales_pipeline__rollup__pipeline_expected_bookings">'Sales Pipeline'!$AQ$8:$BV$8</definedName>
    <definedName name="example_operating_plan_sales_pipeline__rollup__pipeline_active_projects">'Sales Pipeline'!$K$9:$AP$9</definedName>
    <definedName name="example_operating_plan_sales_pipeline_company">'Sales Pipeline'!$B$11:$B$40</definedName>
    <definedName name="example_operating_plan_sales_pipeline_monthly_revenue">'Sales Pipeline'!$C$11:$C$40</definedName>
    <definedName name="example_operating_plan_sales_pipeline_month_sign">'Sales Pipeline'!$D$11:$D$40</definedName>
    <definedName name="example_operating_plan_sales_pipeline_length">'Sales Pipeline'!$E$11:$E$40</definedName>
    <definedName name="example_operating_plan_sales_pipeline_expected_likelihood">'Sales Pipeline'!$F$11:$F$40</definedName>
    <definedName name="example_operating_plan_sales_pipeline_start_date">'Sales Pipeline'!$G$11:$G$40</definedName>
    <definedName name="example_operating_plan_sales_pipeline_end_date">'Sales Pipeline'!$H$11:$H$40</definedName>
    <definedName name="example_operating_plan_sales_pipeline_contract_value">'Sales Pipeline'!$I$11:$I$40</definedName>
    <definedName name="example_operating_plan_sales_pipeline_expected_value">'Sales Pipeline'!$J$11:$J$40</definedName>
    <definedName name="example_operating_plan_tm_new_projects">'Inputs'!$D$10:$M$10</definedName>
    <definedName name="example_operating_plan_tm_acv">'Inputs'!$C$12</definedName>
    <definedName name="example_operating_plan_tm_acv_growth">'Inputs'!$D$14:$M$14</definedName>
    <definedName name="example_operating_plan_fp_new_projects">'Inputs'!$D$15:$M$15</definedName>
    <definedName name="example_operating_plan_fp_acv">'Inputs'!$C$17</definedName>
    <definedName name="example_operating_plan_fp_acv_growth">'Inputs'!$D$19:$M$19</definedName>
    <definedName name="example_operating_plan_rec_pct_booking_qtr">'Inputs'!$C$21</definedName>
    <definedName name="example_operating_plan_rec_pct_next_qtr">'Inputs'!$C$22</definedName>
    <definedName name="example_operating_plan_pipeline_tm_share">'Inputs'!$C$23</definedName>
    <definedName name="example_operating_plan_tm_material_share">'Inputs'!$C$24</definedName>
    <definedName name="example_operating_plan_series_revenue_input">'Inputs'!$D$26:$M$26</definedName>
    <definedName name="example_operating_plan_material_markup">'Inputs'!$C$30</definedName>
    <definedName name="example_operating_plan_labor_bill_rate">'Inputs'!$C$31</definedName>
    <definedName name="example_operating_plan_labor_cost_rate">'Inputs'!$C$32</definedName>
    <definedName name="example_operating_plan_series_gross_margin">'Inputs'!$C$33</definedName>
    <definedName name="example_operating_plan_target_gross_margin">'Inputs'!$C$34</definedName>
    <definedName name="example_operating_plan_fp_gross_margin_floor">'Inputs'!$C$35</definedName>
    <definedName name="example_operating_plan_sm_pct_of_revenue">'Inputs'!$C$39</definedName>
    <definedName name="example_operating_plan_ga_annual_run_rate">'Inputs'!$C$40</definedName>
    <definedName name="example_operating_plan_overhead_annual_run_rate">'Inputs'!$C$41</definedName>
    <definedName name="example_operating_plan_fringe_annual_run_rate">'Inputs'!$C$42</definedName>
    <definedName name="example_operating_plan_facilities_annual_run_rate">'Inputs'!$C$43</definedName>
    <definedName name="example_operating_plan_opex_inflation_qtr">'Inputs'!$C$44</definedName>
    <definedName name="example_operating_plan_opex_index_base">'Inputs'!$C$45</definedName>
    <definedName name="example_operating_plan_capex_annual">'Inputs'!$C$49</definedName>
    <definedName name="example_operating_plan_useful_life_years">'Inputs'!$C$50</definedName>
    <definedName name="example_operating_plan_dso">'Inputs'!$C$51</definedName>
    <definedName name="example_operating_plan_dpo">'Inputs'!$C$52</definedName>
    <definedName name="example_operating_plan_opening_cash">'Inputs'!$C$56</definedName>
    <definedName name="example_operating_plan_opening_ar">'Inputs'!$C$57</definedName>
    <definedName name="example_operating_plan_opening_ap">'Inputs'!$C$58</definedName>
    <definedName name="example_operating_plan_opening_ppe">'Inputs'!$C$59</definedName>
    <definedName name="example_operating_plan_opening_equity">'Inputs'!$C$60</definedName>
    <definedName name="example_operating_plan_tm_acv_t">'Model'!$D$11:$AI$11</definedName>
    <definedName name="example_operating_plan_fp_acv_t">'Model'!$D$13:$AI$13</definedName>
    <definedName name="example_operating_plan_tm_new_revenue">'Model'!$D$19:$AI$19</definedName>
    <definedName name="example_operating_plan_fp_new_revenue">'Model'!$D$26:$AI$26</definedName>
    <definedName name="example_operating_plan_series_revenue">'Model'!$D$29:$AI$29</definedName>
    <definedName name="example_operating_plan_opex_index">'Model'!$D$65:$AI$65</definedName>
    <definedName name="example_operating_plan_capital_expenditures">'Model'!$D$74:$AI$74</definedName>
    <definedName name="example_operating_plan_beginning_cash">'Model'!$D$77:$AI$77</definedName>
    <definedName name="example_operating_plan_change_in_ar">'Model'!$D$68:$AI$68</definedName>
    <definedName name="example_operating_plan_change_in_ap">'Model'!$D$69:$AI$69</definedName>
    <definedName name="example_operating_plan_beginning_ppe">'Model'!$D$82:$AI$82</definedName>
    <definedName name="example_operating_plan_pipeline_expected_revenue">'Model'!$D$10:$AI$10</definedName>
    <definedName name="example_operating_plan_pipeline_expected_bookings">'Model'!$D$9:$AI$9</definedName>
    <definedName name="example_operating_plan_pipeline_active_projects">'Model'!$D$8:$AI$8</definedName>
    <definedName name="example_operating_plan_tm_new_bookings">'Model'!$D$12:$AI$12</definedName>
    <definedName name="example_operating_plan_fp_new_bookings">'Model'!$D$14:$AI$14</definedName>
    <definedName name="example_operating_plan_series_cogs">'Model'!$D$42:$AI$42</definedName>
    <definedName name="example_operating_plan_general_admin_expense">'Model'!$D$50:$AI$50</definedName>
    <definedName name="example_operating_plan_overhead_expense">'Model'!$D$51:$AI$51</definedName>
    <definedName name="example_operating_plan_fringe_expense">'Model'!$D$52:$AI$52</definedName>
    <definedName name="example_operating_plan_facilities_expense">'Model'!$D$53:$AI$53</definedName>
    <definedName name="example_operating_plan_change_in_working_capital">'Model'!$D$70:$AI$70</definedName>
    <definedName name="example_operating_plan_depreciation_expense">'Model'!$D$59:$AI$59</definedName>
    <definedName name="example_operating_plan_pipeline_tm_revenue">'Model'!$D$18:$AI$18</definedName>
    <definedName name="example_operating_plan_pipeline_fp_revenue">'Model'!$D$25:$AI$25</definedName>
    <definedName name="example_operating_plan_total_bookings">'Model'!$D$15:$AI$15</definedName>
    <definedName name="example_operating_plan_series_gross_profit">'Model'!$D$43:$AI$43</definedName>
    <definedName name="example_operating_plan_ending_ppe">'Model'!$D$83:$AI$83</definedName>
    <definedName name="example_operating_plan_tm_revenue">'Model'!$D$22:$AI$22</definedName>
    <definedName name="example_operating_plan_fp_revenue">'Model'!$D$27:$AI$27</definedName>
    <definedName name="example_operating_plan_tm_material_revenue">'Model'!$D$21:$AI$21</definedName>
    <definedName name="example_operating_plan_revenue">'Model'!$D$31:$AI$31</definedName>
    <definedName name="example_operating_plan_tm_labor_revenue">'Model'!$D$20:$AI$20</definedName>
    <definedName name="example_operating_plan_tm_material_cogs">'Model'!$D$33:$AI$33</definedName>
    <definedName name="example_operating_plan_tm_share_of_revenue">'Model'!$D$24:$AI$24</definedName>
    <definedName name="example_operating_plan_sales_marketing_expense">'Model'!$D$49:$AI$49</definedName>
    <definedName name="example_operating_plan_accounts_receivable">'Model'!$D$81:$AI$81</definedName>
    <definedName name="example_operating_plan_tm_labor_cogs">'Model'!$D$34:$AI$34</definedName>
    <definedName name="example_operating_plan_operating_expenses">'Model'!$D$54:$AI$54</definedName>
    <definedName name="example_operating_plan_tm_cogs">'Model'!$D$35:$AI$35</definedName>
    <definedName name="example_operating_plan_tm_gross_profit">'Model'!$D$37:$AI$37</definedName>
    <definedName name="example_operating_plan_tm_gross_margin">'Model'!$D$38:$AI$38</definedName>
    <definedName name="example_operating_plan_fp_cogs">'Model'!$D$39:$AI$39</definedName>
    <definedName name="example_operating_plan_fp_gross_profit">'Model'!$D$40:$AI$40</definedName>
    <definedName name="example_operating_plan_cost_of_revenue">'Model'!$D$44:$AI$44</definedName>
    <definedName name="example_operating_plan_fp_gross_margin">'Model'!$D$41:$AI$41</definedName>
    <definedName name="example_operating_plan_gross_profit">'Model'!$D$46:$AI$46</definedName>
    <definedName name="example_operating_plan_accounts_payable">'Model'!$D$86:$AI$86</definedName>
    <definedName name="example_operating_plan_gross_margin">'Model'!$D$48:$AI$48</definedName>
    <definedName name="example_operating_plan_ebitda">'Model'!$D$56:$AI$56</definedName>
    <definedName name="example_operating_plan_total_liabilities">'Model'!$D$87:$AI$87</definedName>
    <definedName name="example_operating_plan_ebitda_margin">'Model'!$D$58:$AI$58</definedName>
    <definedName name="example_operating_plan_ebit">'Model'!$D$60:$AI$60</definedName>
    <definedName name="example_operating_plan_net_income">'Model'!$D$62:$AI$62</definedName>
    <definedName name="example_operating_plan_net_margin">'Model'!$D$64:$AI$64</definedName>
    <definedName name="example_operating_plan_operating_cash_flow">'Model'!$D$72:$AI$72</definedName>
    <definedName name="example_operating_plan_total_equity">'Model'!$D$89:$AI$89</definedName>
    <definedName name="example_operating_plan_free_cash_flow">'Model'!$D$75:$AI$75</definedName>
    <definedName name="example_operating_plan_total_liabilities_and_equity">'Model'!$D$91:$AI$91</definedName>
    <definedName name="example_operating_plan_ending_cash">'Model'!$D$78:$AI$78</definedName>
    <definedName name="example_operating_plan_total_assets">'Model'!$D$84:$AI$84</definedName>
    <definedName name="example_operating_plan_balance_check">'Model'!$D$93:$AI$93</definedName>
    <definedName name="example_operating_plan_revenue_yoy">'Exec Summary'!$C$16:$AQ$16</definedName>
    <definedName name="example_operating_plan_gm">'Exec Summary'!$C$20:$AQ$20</definedName>
    <definedName name="example_operating_plan_ebitda_m">'Exec Summary'!$C$25:$AQ$25</definedName>
    <definedName name="example_operating_plan_ni_m">'Exec Summary'!$C$28:$AQ$28</definedName>
    <definedName name="example_operating_plan_rev_yoy">'Income Statement'!$C$15:$AQ$15</definedName>
    <definedName name="example_operating_plan_gm2">'Income Statement'!$C$24:$AQ$24</definedName>
    <definedName name="example_operating_plan_ebitda_m2">'Income Statement'!$C$34:$AQ$34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_(* #,##0_);_(* (#,##0);_(* &quot;-&quot;??_);_(@_)"/>
    <numFmt numFmtId="165" formatCode="yyyy-mm-dd"/>
    <numFmt numFmtId="166" formatCode="_(* 0.0%_);_(* (0.0%);_(* &quot;-&quot;??_);_(@_)"/>
    <numFmt numFmtId="167" formatCode="_(* #,##0.0,_);_(* (#,##0.0,);_(* &quot;-&quot;??_);_(@_)"/>
    <numFmt numFmtId="168" formatCode="_(* #,##0.0_);_(* (#,##0.0);_(* &quot;-&quot;??_);_(@_)"/>
    <numFmt numFmtId="169" formatCode="yyyy"/>
  </numFmts>
  <fonts count="7">
    <font>
      <name val="Calibri"/>
      <family val="2"/>
      <color theme="1"/>
      <sz val="11"/>
      <scheme val="minor"/>
    </font>
    <font>
      <b val="1"/>
      <sz val="14"/>
    </font>
    <font>
      <name val="Calibri"/>
      <family val="2"/>
      <color theme="10"/>
      <sz val="12"/>
      <scheme val="minor"/>
    </font>
    <font>
      <i val="1"/>
    </font>
    <font>
      <b val="1"/>
      <sz val="12"/>
    </font>
    <font>
      <b val="1"/>
      <color rgb="FFFFFFFF"/>
    </font>
    <font>
      <color rgb="FF0000FF"/>
    </font>
  </fonts>
  <fills count="8">
    <fill>
      <patternFill/>
    </fill>
    <fill>
      <patternFill patternType="gray125"/>
    </fill>
    <fill>
      <patternFill patternType="solid">
        <fgColor rgb="FF0F204B"/>
        <bgColor rgb="FF0F204B"/>
      </patternFill>
    </fill>
    <fill>
      <patternFill patternType="solid">
        <fgColor rgb="FFDCE6F1"/>
        <bgColor rgb="FFDCE6F1"/>
      </patternFill>
    </fill>
    <fill>
      <patternFill patternType="solid">
        <fgColor rgb="FFB3B3B3"/>
        <bgColor rgb="FFB3B3B3"/>
      </patternFill>
    </fill>
    <fill>
      <patternFill patternType="solid">
        <fgColor rgb="FF9EDFFF"/>
        <bgColor rgb="FF9EDFFF"/>
      </patternFill>
    </fill>
    <fill>
      <patternFill patternType="solid">
        <fgColor rgb="FFE5E5E5"/>
      </patternFill>
    </fill>
    <fill>
      <patternFill patternType="solid">
        <fgColor rgb="FFD1F6FF"/>
      </patternFill>
    </fill>
  </fills>
  <borders count="9">
    <border>
      <left/>
      <right/>
      <top/>
      <bottom/>
      <diagonal/>
    </border>
    <border>
      <bottom style="thin">
        <color rgb="FF000000"/>
      </bottom>
    </border>
    <border>
      <left/>
      <right style="medium">
        <color rgb="00000000"/>
      </right>
      <top/>
      <bottom/>
    </border>
    <border>
      <left/>
      <right/>
      <top/>
      <bottom style="thin">
        <color rgb="FF000000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double">
        <color rgb="FF000000"/>
      </bottom>
    </border>
    <border>
      <left/>
      <right/>
      <top/>
      <bottom style="double">
        <color rgb="FF000000"/>
      </bottom>
    </border>
  </borders>
  <cellStyleXfs count="2">
    <xf numFmtId="0" fontId="0" fillId="0" borderId="0"/>
    <xf numFmtId="0" fontId="2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/>
    </xf>
    <xf numFmtId="0" fontId="2" fillId="0" borderId="0" pivotButton="0" quotePrefix="0" xfId="1"/>
    <xf numFmtId="0" fontId="0" fillId="6" borderId="0" pivotButton="0" quotePrefix="0" xfId="0"/>
    <xf numFmtId="0" fontId="0" fillId="7" borderId="0" pivotButton="0" quotePrefix="0" xfId="0"/>
    <xf numFmtId="0" fontId="0" fillId="0" borderId="1" pivotButton="0" quotePrefix="0" xfId="0"/>
    <xf numFmtId="0" fontId="0" fillId="0" borderId="3" applyAlignment="1" pivotButton="0" quotePrefix="0" xfId="0">
      <alignment vertical="center"/>
    </xf>
    <xf numFmtId="0" fontId="0" fillId="0" borderId="3" applyAlignment="1" pivotButton="0" quotePrefix="0" xfId="0">
      <alignment horizontal="center" vertical="center"/>
    </xf>
    <xf numFmtId="0" fontId="0" fillId="2" borderId="0" pivotButton="0" quotePrefix="0" xfId="0"/>
    <xf numFmtId="164" fontId="6" fillId="3" borderId="0" pivotButton="0" quotePrefix="0" xfId="0"/>
    <xf numFmtId="166" fontId="6" fillId="3" borderId="0" pivotButton="0" quotePrefix="0" xfId="0"/>
    <xf numFmtId="0" fontId="0" fillId="0" borderId="2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164" fontId="0" fillId="0" borderId="0" pivotButton="0" quotePrefix="0" xfId="0"/>
    <xf numFmtId="0" fontId="4" fillId="0" borderId="2" applyAlignment="1" pivotButton="0" quotePrefix="0" xfId="0">
      <alignment horizontal="center" vertical="center"/>
    </xf>
    <xf numFmtId="165" fontId="0" fillId="0" borderId="0" pivotButton="0" quotePrefix="0" xfId="0"/>
    <xf numFmtId="166" fontId="0" fillId="0" borderId="0" pivotButton="0" quotePrefix="0" xfId="0"/>
    <xf numFmtId="164" fontId="0" fillId="0" borderId="2" pivotButton="0" quotePrefix="0" xfId="0"/>
    <xf numFmtId="0" fontId="3" fillId="0" borderId="1" pivotButton="0" quotePrefix="0" xfId="0"/>
    <xf numFmtId="169" fontId="4" fillId="4" borderId="5" applyAlignment="1" pivotButton="0" quotePrefix="0" xfId="0">
      <alignment horizontal="center" vertical="center"/>
    </xf>
    <xf numFmtId="169" fontId="4" fillId="5" borderId="5" applyAlignment="1" pivotButton="0" quotePrefix="0" xfId="0">
      <alignment horizontal="center" vertical="center"/>
    </xf>
    <xf numFmtId="0" fontId="4" fillId="4" borderId="5" applyAlignment="1" pivotButton="0" quotePrefix="0" xfId="0">
      <alignment horizontal="center" vertical="center"/>
    </xf>
    <xf numFmtId="0" fontId="4" fillId="5" borderId="5" applyAlignment="1" pivotButton="0" quotePrefix="0" xfId="0">
      <alignment horizontal="center" vertical="center"/>
    </xf>
    <xf numFmtId="0" fontId="0" fillId="0" borderId="0" applyAlignment="1" pivotButton="0" quotePrefix="0" xfId="0">
      <alignment indent="2"/>
    </xf>
    <xf numFmtId="167" fontId="0" fillId="0" borderId="0" pivotButton="0" quotePrefix="0" xfId="0"/>
    <xf numFmtId="0" fontId="0" fillId="0" borderId="6" pivotButton="0" quotePrefix="0" xfId="0"/>
    <xf numFmtId="167" fontId="0" fillId="0" borderId="6" pivotButton="0" quotePrefix="0" xfId="0"/>
    <xf numFmtId="0" fontId="0" fillId="0" borderId="3" pivotButton="0" quotePrefix="0" xfId="0"/>
    <xf numFmtId="0" fontId="3" fillId="0" borderId="0" applyAlignment="1" pivotButton="0" quotePrefix="0" xfId="0">
      <alignment indent="3"/>
    </xf>
    <xf numFmtId="166" fontId="3" fillId="0" borderId="0" pivotButton="0" quotePrefix="0" xfId="0"/>
    <xf numFmtId="0" fontId="3" fillId="0" borderId="8" applyAlignment="1" pivotButton="0" quotePrefix="0" xfId="0">
      <alignment indent="3"/>
    </xf>
    <xf numFmtId="166" fontId="3" fillId="0" borderId="8" pivotButton="0" quotePrefix="0" xfId="0"/>
    <xf numFmtId="0" fontId="0" fillId="0" borderId="7" pivotButton="0" quotePrefix="0" xfId="0"/>
    <xf numFmtId="167" fontId="0" fillId="0" borderId="7" pivotButton="0" quotePrefix="0" xfId="0"/>
    <xf numFmtId="168" fontId="0" fillId="0" borderId="0" pivotButton="0" quotePrefix="0" xfId="0"/>
    <xf numFmtId="0" fontId="0" fillId="0" borderId="6" applyAlignment="1" pivotButton="0" quotePrefix="0" xfId="0">
      <alignment indent="1"/>
    </xf>
    <xf numFmtId="167" fontId="6" fillId="0" borderId="0" pivotButton="0" quotePrefix="0" xfId="0"/>
    <xf numFmtId="167" fontId="6" fillId="0" borderId="6" pivotButton="0" quotePrefix="0" xfId="0"/>
    <xf numFmtId="0" fontId="3" fillId="0" borderId="0" applyAlignment="1" pivotButton="0" quotePrefix="0" xfId="0">
      <alignment indent="2"/>
    </xf>
    <xf numFmtId="168" fontId="3" fillId="0" borderId="0" pivotButton="0" quotePrefix="0" xfId="0"/>
    <xf numFmtId="167" fontId="3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omments/comment1.xml><?xml version="1.0" encoding="utf-8"?>
<comments xmlns="http://schemas.openxmlformats.org/spreadsheetml/2006/main">
  <authors>
    <author>Supermod</author>
  </authors>
  <commentList>
    <comment ref="D20" authorId="0" shapeId="0">
      <text>
        <t>Source: Example Engineering 3 year.xlsx
Type: excel
Location: Sheet: IncomeStatementByPeriod</t>
      </text>
    </comment>
    <comment ref="E20" authorId="0" shapeId="0">
      <text>
        <t>Source: Example Engineering 3 year.xlsx
Type: excel
Location: Sheet: IncomeStatementByPeriod</t>
      </text>
    </comment>
    <comment ref="F20" authorId="0" shapeId="0">
      <text>
        <t>Source: Example Engineering 3 year.xlsx
Type: excel
Location: Sheet: IncomeStatementByPeriod</t>
      </text>
    </comment>
    <comment ref="G20" authorId="0" shapeId="0">
      <text>
        <t>Source: Example Engineering 3 year.xlsx
Type: excel
Location: Sheet: IncomeStatementByPeriod</t>
      </text>
    </comment>
    <comment ref="H20" authorId="0" shapeId="0">
      <text>
        <t>Source: Example Engineering 3 year.xlsx
Type: excel
Location: Sheet: IncomeStatementByPeriod</t>
      </text>
    </comment>
    <comment ref="I20" authorId="0" shapeId="0">
      <text>
        <t>Source: Example Engineering 3 year.xlsx
Type: excel
Location: Sheet: IncomeStatementByPeriod</t>
      </text>
    </comment>
    <comment ref="J20" authorId="0" shapeId="0">
      <text>
        <t>Source: Example Engineering 3 year.xlsx
Type: excel
Location: Sheet: IncomeStatementByPeriod</t>
      </text>
    </comment>
    <comment ref="K20" authorId="0" shapeId="0">
      <text>
        <t>Source: Example Engineering 3 year.xlsx
Type: excel
Location: Sheet: IncomeStatementByPeriod</t>
      </text>
    </comment>
    <comment ref="L20" authorId="0" shapeId="0">
      <text>
        <t>Source: Example Engineering 3 year.xlsx
Type: excel
Location: Sheet: IncomeStatementByPeriod</t>
      </text>
    </comment>
    <comment ref="M20" authorId="0" shapeId="0">
      <text>
        <t>Source: Example Engineering 3 year.xlsx
Type: excel
Location: Sheet: IncomeStatementByPeriod</t>
      </text>
    </comment>
    <comment ref="N20" authorId="0" shapeId="0">
      <text>
        <t>Source: Example Engineering 3 year.xlsx
Type: excel
Location: Sheet: IncomeStatementByPeriod</t>
      </text>
    </comment>
    <comment ref="O20" authorId="0" shapeId="0">
      <text>
        <t>Source: Example Engineering 3 year.xlsx
Type: excel
Location: Sheet: IncomeStatementByPeriod</t>
      </text>
    </comment>
    <comment ref="P20" authorId="0" shapeId="0">
      <text>
        <t>Source: Example Engineering 3 year.xlsx
Type: excel
Location: Sheet: IncomeStatementByPeriod</t>
      </text>
    </comment>
    <comment ref="Q20" authorId="0" shapeId="0">
      <text>
        <t>Source: Example Engineering 3 year.xlsx
Type: excel
Location: Sheet: IncomeStatementByPeriod</t>
      </text>
    </comment>
    <comment ref="R20" authorId="0" shapeId="0">
      <text>
        <t>Source: Example Engineering 3 year.xlsx
Type: excel
Location: Sheet: IncomeStatementByPeriod</t>
      </text>
    </comment>
    <comment ref="S20" authorId="0" shapeId="0">
      <text>
        <t>Source: Example Engineering 3 year.xlsx
Type: excel
Location: Sheet: IncomeStatementByPeriod</t>
      </text>
    </comment>
    <comment ref="T20" authorId="0" shapeId="0">
      <text>
        <t>Source: Example Engineering 3 year.xlsx
Type: excel
Location: Sheet: IncomeStatementByPeriod</t>
      </text>
    </comment>
    <comment ref="U20" authorId="0" shapeId="0">
      <text>
        <t>Source: Example Engineering 3 year.xlsx
Type: excel
Location: Sheet: IncomeStatementByPeriod</t>
      </text>
    </comment>
    <comment ref="V20" authorId="0" shapeId="0">
      <text>
        <t>Source: Example Engineering 3 year.xlsx
Type: excel
Location: Sheet: IncomeStatementByPeriod</t>
      </text>
    </comment>
    <comment ref="W20" authorId="0" shapeId="0">
      <text>
        <t>Source: Example Engineering 3 year.xlsx
Type: excel
Location: Sheet: IncomeStatementByPeriod</t>
      </text>
    </comment>
    <comment ref="X20" authorId="0" shapeId="0">
      <text>
        <t>Source: Example Engineering 3 year.xlsx
Type: excel
Location: Sheet: IncomeStatementByPeriod</t>
      </text>
    </comment>
    <comment ref="Y20" authorId="0" shapeId="0">
      <text>
        <t>Source: Example Engineering 3 year.xlsx
Type: excel
Location: Sheet: IncomeStatementByPeriod</t>
      </text>
    </comment>
    <comment ref="D21" authorId="0" shapeId="0">
      <text>
        <t>Source: Example Engineering 3 year.xlsx
Type: excel
Location: Sheet: IncomeStatementByPeriod</t>
      </text>
    </comment>
    <comment ref="E21" authorId="0" shapeId="0">
      <text>
        <t>Source: Example Engineering 3 year.xlsx
Type: excel
Location: Sheet: IncomeStatementByPeriod</t>
      </text>
    </comment>
    <comment ref="F21" authorId="0" shapeId="0">
      <text>
        <t>Source: Example Engineering 3 year.xlsx
Type: excel
Location: Sheet: IncomeStatementByPeriod</t>
      </text>
    </comment>
    <comment ref="G21" authorId="0" shapeId="0">
      <text>
        <t>Source: Example Engineering 3 year.xlsx
Type: excel
Location: Sheet: IncomeStatementByPeriod</t>
      </text>
    </comment>
    <comment ref="H21" authorId="0" shapeId="0">
      <text>
        <t>Source: Example Engineering 3 year.xlsx
Type: excel
Location: Sheet: IncomeStatementByPeriod</t>
      </text>
    </comment>
    <comment ref="I21" authorId="0" shapeId="0">
      <text>
        <t>Source: Example Engineering 3 year.xlsx
Type: excel
Location: Sheet: IncomeStatementByPeriod</t>
      </text>
    </comment>
    <comment ref="J21" authorId="0" shapeId="0">
      <text>
        <t>Source: Example Engineering 3 year.xlsx
Type: excel
Location: Sheet: IncomeStatementByPeriod</t>
      </text>
    </comment>
    <comment ref="K21" authorId="0" shapeId="0">
      <text>
        <t>Source: Example Engineering 3 year.xlsx
Type: excel
Location: Sheet: IncomeStatementByPeriod</t>
      </text>
    </comment>
    <comment ref="L21" authorId="0" shapeId="0">
      <text>
        <t>Source: Example Engineering 3 year.xlsx
Type: excel
Location: Sheet: IncomeStatementByPeriod</t>
      </text>
    </comment>
    <comment ref="M21" authorId="0" shapeId="0">
      <text>
        <t>Source: Example Engineering 3 year.xlsx
Type: excel
Location: Sheet: IncomeStatementByPeriod</t>
      </text>
    </comment>
    <comment ref="N21" authorId="0" shapeId="0">
      <text>
        <t>Source: Example Engineering 3 year.xlsx
Type: excel
Location: Sheet: IncomeStatementByPeriod</t>
      </text>
    </comment>
    <comment ref="O21" authorId="0" shapeId="0">
      <text>
        <t>Source: Example Engineering 3 year.xlsx
Type: excel
Location: Sheet: IncomeStatementByPeriod</t>
      </text>
    </comment>
    <comment ref="P21" authorId="0" shapeId="0">
      <text>
        <t>Source: Example Engineering 3 year.xlsx
Type: excel
Location: Sheet: IncomeStatementByPeriod</t>
      </text>
    </comment>
    <comment ref="Q21" authorId="0" shapeId="0">
      <text>
        <t>Source: Example Engineering 3 year.xlsx
Type: excel
Location: Sheet: IncomeStatementByPeriod</t>
      </text>
    </comment>
    <comment ref="R21" authorId="0" shapeId="0">
      <text>
        <t>Source: Example Engineering 3 year.xlsx
Type: excel
Location: Sheet: IncomeStatementByPeriod</t>
      </text>
    </comment>
    <comment ref="S21" authorId="0" shapeId="0">
      <text>
        <t>Source: Example Engineering 3 year.xlsx
Type: excel
Location: Sheet: IncomeStatementByPeriod</t>
      </text>
    </comment>
    <comment ref="T21" authorId="0" shapeId="0">
      <text>
        <t>Source: Example Engineering 3 year.xlsx
Type: excel
Location: Sheet: IncomeStatementByPeriod</t>
      </text>
    </comment>
    <comment ref="U21" authorId="0" shapeId="0">
      <text>
        <t>Source: Example Engineering 3 year.xlsx
Type: excel
Location: Sheet: IncomeStatementByPeriod</t>
      </text>
    </comment>
    <comment ref="V21" authorId="0" shapeId="0">
      <text>
        <t>Source: Example Engineering 3 year.xlsx
Type: excel
Location: Sheet: IncomeStatementByPeriod</t>
      </text>
    </comment>
    <comment ref="W21" authorId="0" shapeId="0">
      <text>
        <t>Source: Example Engineering 3 year.xlsx
Type: excel
Location: Sheet: IncomeStatementByPeriod</t>
      </text>
    </comment>
    <comment ref="X21" authorId="0" shapeId="0">
      <text>
        <t>Source: Example Engineering 3 year.xlsx
Type: excel
Location: Sheet: IncomeStatementByPeriod</t>
      </text>
    </comment>
    <comment ref="Y21" authorId="0" shapeId="0">
      <text>
        <t>Source: Example Engineering 3 year.xlsx
Type: excel
Location: Sheet: IncomeStatementByPeriod</t>
      </text>
    </comment>
    <comment ref="D22" authorId="0" shapeId="0">
      <text>
        <t>Source: Example Engineering 3 year.xlsx
Type: excel
Location: Sheet: IncomeStatementByPeriod</t>
      </text>
    </comment>
    <comment ref="E22" authorId="0" shapeId="0">
      <text>
        <t>Source: Example Engineering 3 year.xlsx
Type: excel
Location: Sheet: IncomeStatementByPeriod</t>
      </text>
    </comment>
    <comment ref="F22" authorId="0" shapeId="0">
      <text>
        <t>Source: Example Engineering 3 year.xlsx
Type: excel
Location: Sheet: IncomeStatementByPeriod</t>
      </text>
    </comment>
    <comment ref="G22" authorId="0" shapeId="0">
      <text>
        <t>Source: Example Engineering 3 year.xlsx
Type: excel
Location: Sheet: IncomeStatementByPeriod</t>
      </text>
    </comment>
    <comment ref="H22" authorId="0" shapeId="0">
      <text>
        <t>Source: Example Engineering 3 year.xlsx
Type: excel
Location: Sheet: IncomeStatementByPeriod</t>
      </text>
    </comment>
    <comment ref="I22" authorId="0" shapeId="0">
      <text>
        <t>Source: Example Engineering 3 year.xlsx
Type: excel
Location: Sheet: IncomeStatementByPeriod</t>
      </text>
    </comment>
    <comment ref="J22" authorId="0" shapeId="0">
      <text>
        <t>Source: Example Engineering 3 year.xlsx
Type: excel
Location: Sheet: IncomeStatementByPeriod</t>
      </text>
    </comment>
    <comment ref="K22" authorId="0" shapeId="0">
      <text>
        <t>Source: Example Engineering 3 year.xlsx
Type: excel
Location: Sheet: IncomeStatementByPeriod</t>
      </text>
    </comment>
    <comment ref="L22" authorId="0" shapeId="0">
      <text>
        <t>Source: Example Engineering 3 year.xlsx
Type: excel
Location: Sheet: IncomeStatementByPeriod</t>
      </text>
    </comment>
    <comment ref="M22" authorId="0" shapeId="0">
      <text>
        <t>Source: Example Engineering 3 year.xlsx
Type: excel
Location: Sheet: IncomeStatementByPeriod</t>
      </text>
    </comment>
    <comment ref="N22" authorId="0" shapeId="0">
      <text>
        <t>Source: Example Engineering 3 year.xlsx
Type: excel
Location: Sheet: IncomeStatementByPeriod</t>
      </text>
    </comment>
    <comment ref="O22" authorId="0" shapeId="0">
      <text>
        <t>Source: Example Engineering 3 year.xlsx
Type: excel
Location: Sheet: IncomeStatementByPeriod</t>
      </text>
    </comment>
    <comment ref="P22" authorId="0" shapeId="0">
      <text>
        <t>Source: Example Engineering 3 year.xlsx
Type: excel
Location: Sheet: IncomeStatementByPeriod</t>
      </text>
    </comment>
    <comment ref="Q22" authorId="0" shapeId="0">
      <text>
        <t>Source: Example Engineering 3 year.xlsx
Type: excel
Location: Sheet: IncomeStatementByPeriod</t>
      </text>
    </comment>
    <comment ref="R22" authorId="0" shapeId="0">
      <text>
        <t>Source: Example Engineering 3 year.xlsx
Type: excel
Location: Sheet: IncomeStatementByPeriod</t>
      </text>
    </comment>
    <comment ref="S22" authorId="0" shapeId="0">
      <text>
        <t>Source: Example Engineering 3 year.xlsx
Type: excel
Location: Sheet: IncomeStatementByPeriod</t>
      </text>
    </comment>
    <comment ref="T22" authorId="0" shapeId="0">
      <text>
        <t>Source: Example Engineering 3 year.xlsx
Type: excel
Location: Sheet: IncomeStatementByPeriod</t>
      </text>
    </comment>
    <comment ref="U22" authorId="0" shapeId="0">
      <text>
        <t>Source: Example Engineering 3 year.xlsx
Type: excel
Location: Sheet: IncomeStatementByPeriod</t>
      </text>
    </comment>
    <comment ref="V22" authorId="0" shapeId="0">
      <text>
        <t>Source: Example Engineering 3 year.xlsx
Type: excel
Location: Sheet: IncomeStatementByPeriod</t>
      </text>
    </comment>
    <comment ref="W22" authorId="0" shapeId="0">
      <text>
        <t>Source: Example Engineering 3 year.xlsx
Type: excel
Location: Sheet: IncomeStatementByPeriod</t>
      </text>
    </comment>
    <comment ref="X22" authorId="0" shapeId="0">
      <text>
        <t>Source: Example Engineering 3 year.xlsx
Type: excel
Location: Sheet: IncomeStatementByPeriod</t>
      </text>
    </comment>
    <comment ref="Y22" authorId="0" shapeId="0">
      <text>
        <t>Source: Example Engineering 3 year.xlsx
Type: excel
Location: Sheet: IncomeStatementByPeriod</t>
      </text>
    </comment>
    <comment ref="D27" authorId="0" shapeId="0">
      <text>
        <t>Source: Example Engineering 3 year.xlsx
Type: excel
Location: Sheet: IncomeStatementByPeriod</t>
      </text>
    </comment>
    <comment ref="E27" authorId="0" shapeId="0">
      <text>
        <t>Source: Example Engineering 3 year.xlsx
Type: excel
Location: Sheet: IncomeStatementByPeriod</t>
      </text>
    </comment>
    <comment ref="F27" authorId="0" shapeId="0">
      <text>
        <t>Source: Example Engineering 3 year.xlsx
Type: excel
Location: Sheet: IncomeStatementByPeriod</t>
      </text>
    </comment>
    <comment ref="G27" authorId="0" shapeId="0">
      <text>
        <t>Source: Example Engineering 3 year.xlsx
Type: excel
Location: Sheet: IncomeStatementByPeriod</t>
      </text>
    </comment>
    <comment ref="H27" authorId="0" shapeId="0">
      <text>
        <t>Source: Example Engineering 3 year.xlsx
Type: excel
Location: Sheet: IncomeStatementByPeriod</t>
      </text>
    </comment>
    <comment ref="I27" authorId="0" shapeId="0">
      <text>
        <t>Source: Example Engineering 3 year.xlsx
Type: excel
Location: Sheet: IncomeStatementByPeriod</t>
      </text>
    </comment>
    <comment ref="J27" authorId="0" shapeId="0">
      <text>
        <t>Source: Example Engineering 3 year.xlsx
Type: excel
Location: Sheet: IncomeStatementByPeriod</t>
      </text>
    </comment>
    <comment ref="K27" authorId="0" shapeId="0">
      <text>
        <t>Source: Example Engineering 3 year.xlsx
Type: excel
Location: Sheet: IncomeStatementByPeriod</t>
      </text>
    </comment>
    <comment ref="L27" authorId="0" shapeId="0">
      <text>
        <t>Source: Example Engineering 3 year.xlsx
Type: excel
Location: Sheet: IncomeStatementByPeriod</t>
      </text>
    </comment>
    <comment ref="M27" authorId="0" shapeId="0">
      <text>
        <t>Source: Example Engineering 3 year.xlsx
Type: excel
Location: Sheet: IncomeStatementByPeriod</t>
      </text>
    </comment>
    <comment ref="N27" authorId="0" shapeId="0">
      <text>
        <t>Source: Example Engineering 3 year.xlsx
Type: excel
Location: Sheet: IncomeStatementByPeriod</t>
      </text>
    </comment>
    <comment ref="O27" authorId="0" shapeId="0">
      <text>
        <t>Source: Example Engineering 3 year.xlsx
Type: excel
Location: Sheet: IncomeStatementByPeriod</t>
      </text>
    </comment>
    <comment ref="P27" authorId="0" shapeId="0">
      <text>
        <t>Source: Example Engineering 3 year.xlsx
Type: excel
Location: Sheet: IncomeStatementByPeriod</t>
      </text>
    </comment>
    <comment ref="Q27" authorId="0" shapeId="0">
      <text>
        <t>Source: Example Engineering 3 year.xlsx
Type: excel
Location: Sheet: IncomeStatementByPeriod</t>
      </text>
    </comment>
    <comment ref="R27" authorId="0" shapeId="0">
      <text>
        <t>Source: Example Engineering 3 year.xlsx
Type: excel
Location: Sheet: IncomeStatementByPeriod</t>
      </text>
    </comment>
    <comment ref="S27" authorId="0" shapeId="0">
      <text>
        <t>Source: Example Engineering 3 year.xlsx
Type: excel
Location: Sheet: IncomeStatementByPeriod</t>
      </text>
    </comment>
    <comment ref="T27" authorId="0" shapeId="0">
      <text>
        <t>Source: Example Engineering 3 year.xlsx
Type: excel
Location: Sheet: IncomeStatementByPeriod</t>
      </text>
    </comment>
    <comment ref="U27" authorId="0" shapeId="0">
      <text>
        <t>Source: Example Engineering 3 year.xlsx
Type: excel
Location: Sheet: IncomeStatementByPeriod</t>
      </text>
    </comment>
    <comment ref="V27" authorId="0" shapeId="0">
      <text>
        <t>Source: Example Engineering 3 year.xlsx
Type: excel
Location: Sheet: IncomeStatementByPeriod</t>
      </text>
    </comment>
    <comment ref="W27" authorId="0" shapeId="0">
      <text>
        <t>Source: Example Engineering 3 year.xlsx
Type: excel
Location: Sheet: IncomeStatementByPeriod</t>
      </text>
    </comment>
    <comment ref="X27" authorId="0" shapeId="0">
      <text>
        <t>Source: Example Engineering 3 year.xlsx
Type: excel
Location: Sheet: IncomeStatementByPeriod</t>
      </text>
    </comment>
    <comment ref="Y27" authorId="0" shapeId="0">
      <text>
        <t>Source: Example Engineering 3 year.xlsx
Type: excel
Location: Sheet: IncomeStatementByPeriod</t>
      </text>
    </comment>
    <comment ref="D29" authorId="0" shapeId="0">
      <text>
        <t>Source: Example Engineering 3 year.xlsx
Type: excel
Location: Sheet: IncomeStatementByPeriod</t>
      </text>
    </comment>
    <comment ref="E29" authorId="0" shapeId="0">
      <text>
        <t>Source: Example Engineering 3 year.xlsx
Type: excel
Location: Sheet: IncomeStatementByPeriod</t>
      </text>
    </comment>
    <comment ref="F29" authorId="0" shapeId="0">
      <text>
        <t>Source: Example Engineering 3 year.xlsx
Type: excel
Location: Sheet: IncomeStatementByPeriod</t>
      </text>
    </comment>
    <comment ref="G29" authorId="0" shapeId="0">
      <text>
        <t>Source: Example Engineering 3 year.xlsx
Type: excel
Location: Sheet: IncomeStatementByPeriod</t>
      </text>
    </comment>
    <comment ref="H29" authorId="0" shapeId="0">
      <text>
        <t>Source: Example Engineering 3 year.xlsx
Type: excel
Location: Sheet: IncomeStatementByPeriod</t>
      </text>
    </comment>
    <comment ref="I29" authorId="0" shapeId="0">
      <text>
        <t>Source: Example Engineering 3 year.xlsx
Type: excel
Location: Sheet: IncomeStatementByPeriod</t>
      </text>
    </comment>
    <comment ref="J29" authorId="0" shapeId="0">
      <text>
        <t>Source: Example Engineering 3 year.xlsx
Type: excel
Location: Sheet: IncomeStatementByPeriod</t>
      </text>
    </comment>
    <comment ref="K29" authorId="0" shapeId="0">
      <text>
        <t>Source: Example Engineering 3 year.xlsx
Type: excel
Location: Sheet: IncomeStatementByPeriod</t>
      </text>
    </comment>
    <comment ref="L29" authorId="0" shapeId="0">
      <text>
        <t>Source: Example Engineering 3 year.xlsx
Type: excel
Location: Sheet: IncomeStatementByPeriod</t>
      </text>
    </comment>
    <comment ref="M29" authorId="0" shapeId="0">
      <text>
        <t>Source: Example Engineering 3 year.xlsx
Type: excel
Location: Sheet: IncomeStatementByPeriod</t>
      </text>
    </comment>
    <comment ref="N29" authorId="0" shapeId="0">
      <text>
        <t>Source: Example Engineering 3 year.xlsx
Type: excel
Location: Sheet: IncomeStatementByPeriod</t>
      </text>
    </comment>
    <comment ref="O29" authorId="0" shapeId="0">
      <text>
        <t>Source: Example Engineering 3 year.xlsx
Type: excel
Location: Sheet: IncomeStatementByPeriod</t>
      </text>
    </comment>
    <comment ref="P29" authorId="0" shapeId="0">
      <text>
        <t>Source: Example Engineering 3 year.xlsx
Type: excel
Location: Sheet: IncomeStatementByPeriod</t>
      </text>
    </comment>
    <comment ref="Q29" authorId="0" shapeId="0">
      <text>
        <t>Source: Example Engineering 3 year.xlsx
Type: excel
Location: Sheet: IncomeStatementByPeriod</t>
      </text>
    </comment>
    <comment ref="R29" authorId="0" shapeId="0">
      <text>
        <t>Source: Example Engineering 3 year.xlsx
Type: excel
Location: Sheet: IncomeStatementByPeriod</t>
      </text>
    </comment>
    <comment ref="S29" authorId="0" shapeId="0">
      <text>
        <t>Source: Example Engineering 3 year.xlsx
Type: excel
Location: Sheet: IncomeStatementByPeriod</t>
      </text>
    </comment>
    <comment ref="T29" authorId="0" shapeId="0">
      <text>
        <t>Source: Example Engineering 3 year.xlsx
Type: excel
Location: Sheet: IncomeStatementByPeriod</t>
      </text>
    </comment>
    <comment ref="U29" authorId="0" shapeId="0">
      <text>
        <t>Source: Example Engineering 3 year.xlsx
Type: excel
Location: Sheet: IncomeStatementByPeriod</t>
      </text>
    </comment>
    <comment ref="V29" authorId="0" shapeId="0">
      <text>
        <t>Source: Example Engineering 3 year.xlsx
Type: excel
Location: Sheet: IncomeStatementByPeriod</t>
      </text>
    </comment>
    <comment ref="W29" authorId="0" shapeId="0">
      <text>
        <t>Source: Example Engineering 3 year.xlsx
Type: excel
Location: Sheet: IncomeStatementByPeriod</t>
      </text>
    </comment>
    <comment ref="X29" authorId="0" shapeId="0">
      <text>
        <t>Source: Example Engineering 3 year.xlsx
Type: excel
Location: Sheet: IncomeStatementByPeriod</t>
      </text>
    </comment>
    <comment ref="Y29" authorId="0" shapeId="0">
      <text>
        <t>Source: Example Engineering 3 year.xlsx
Type: excel
Location: Sheet: IncomeStatementByPeriod</t>
      </text>
    </comment>
    <comment ref="D31" authorId="0" shapeId="0">
      <text>
        <t>Source: Example Engineering 3 year.xlsx
Type: excel
Location: Sheet: IncomeStatementByPeriod</t>
      </text>
    </comment>
    <comment ref="E31" authorId="0" shapeId="0">
      <text>
        <t>Source: Example Engineering 3 year.xlsx
Type: excel
Location: Sheet: IncomeStatementByPeriod</t>
      </text>
    </comment>
    <comment ref="F31" authorId="0" shapeId="0">
      <text>
        <t>Source: Example Engineering 3 year.xlsx
Type: excel
Location: Sheet: IncomeStatementByPeriod</t>
      </text>
    </comment>
    <comment ref="G31" authorId="0" shapeId="0">
      <text>
        <t>Source: Example Engineering 3 year.xlsx
Type: excel
Location: Sheet: IncomeStatementByPeriod</t>
      </text>
    </comment>
    <comment ref="H31" authorId="0" shapeId="0">
      <text>
        <t>Source: Example Engineering 3 year.xlsx
Type: excel
Location: Sheet: IncomeStatementByPeriod</t>
      </text>
    </comment>
    <comment ref="I31" authorId="0" shapeId="0">
      <text>
        <t>Source: Example Engineering 3 year.xlsx
Type: excel
Location: Sheet: IncomeStatementByPeriod</t>
      </text>
    </comment>
    <comment ref="J31" authorId="0" shapeId="0">
      <text>
        <t>Source: Example Engineering 3 year.xlsx
Type: excel
Location: Sheet: IncomeStatementByPeriod</t>
      </text>
    </comment>
    <comment ref="K31" authorId="0" shapeId="0">
      <text>
        <t>Source: Example Engineering 3 year.xlsx
Type: excel
Location: Sheet: IncomeStatementByPeriod</t>
      </text>
    </comment>
    <comment ref="L31" authorId="0" shapeId="0">
      <text>
        <t>Source: Example Engineering 3 year.xlsx
Type: excel
Location: Sheet: IncomeStatementByPeriod</t>
      </text>
    </comment>
    <comment ref="M31" authorId="0" shapeId="0">
      <text>
        <t>Source: Example Engineering 3 year.xlsx
Type: excel
Location: Sheet: IncomeStatementByPeriod</t>
      </text>
    </comment>
    <comment ref="N31" authorId="0" shapeId="0">
      <text>
        <t>Source: Example Engineering 3 year.xlsx
Type: excel
Location: Sheet: IncomeStatementByPeriod</t>
      </text>
    </comment>
    <comment ref="O31" authorId="0" shapeId="0">
      <text>
        <t>Source: Example Engineering 3 year.xlsx
Type: excel
Location: Sheet: IncomeStatementByPeriod</t>
      </text>
    </comment>
    <comment ref="P31" authorId="0" shapeId="0">
      <text>
        <t>Source: Example Engineering 3 year.xlsx
Type: excel
Location: Sheet: IncomeStatementByPeriod</t>
      </text>
    </comment>
    <comment ref="Q31" authorId="0" shapeId="0">
      <text>
        <t>Source: Example Engineering 3 year.xlsx
Type: excel
Location: Sheet: IncomeStatementByPeriod</t>
      </text>
    </comment>
    <comment ref="R31" authorId="0" shapeId="0">
      <text>
        <t>Source: Example Engineering 3 year.xlsx
Type: excel
Location: Sheet: IncomeStatementByPeriod</t>
      </text>
    </comment>
    <comment ref="S31" authorId="0" shapeId="0">
      <text>
        <t>Source: Example Engineering 3 year.xlsx
Type: excel
Location: Sheet: IncomeStatementByPeriod</t>
      </text>
    </comment>
    <comment ref="T31" authorId="0" shapeId="0">
      <text>
        <t>Source: Example Engineering 3 year.xlsx
Type: excel
Location: Sheet: IncomeStatementByPeriod</t>
      </text>
    </comment>
    <comment ref="U31" authorId="0" shapeId="0">
      <text>
        <t>Source: Example Engineering 3 year.xlsx
Type: excel
Location: Sheet: IncomeStatementByPeriod</t>
      </text>
    </comment>
    <comment ref="V31" authorId="0" shapeId="0">
      <text>
        <t>Source: Example Engineering 3 year.xlsx
Type: excel
Location: Sheet: IncomeStatementByPeriod</t>
      </text>
    </comment>
    <comment ref="W31" authorId="0" shapeId="0">
      <text>
        <t>Source: Example Engineering 3 year.xlsx
Type: excel
Location: Sheet: IncomeStatementByPeriod</t>
      </text>
    </comment>
    <comment ref="X31" authorId="0" shapeId="0">
      <text>
        <t>Source: Example Engineering 3 year.xlsx
Type: excel
Location: Sheet: IncomeStatementByPeriod</t>
      </text>
    </comment>
    <comment ref="Y31" authorId="0" shapeId="0">
      <text>
        <t>Source: Example Engineering 3 year.xlsx
Type: excel
Location: Sheet: IncomeStatementByPeriod</t>
      </text>
    </comment>
    <comment ref="D44" authorId="0" shapeId="0">
      <text>
        <t>Source: Example Engineering 3 year.xlsx
Type: excel
Location: Sheet: IncomeStatementByPeriod</t>
      </text>
    </comment>
    <comment ref="E44" authorId="0" shapeId="0">
      <text>
        <t>Source: Example Engineering 3 year.xlsx
Type: excel
Location: Sheet: IncomeStatementByPeriod</t>
      </text>
    </comment>
    <comment ref="F44" authorId="0" shapeId="0">
      <text>
        <t>Source: Example Engineering 3 year.xlsx
Type: excel
Location: Sheet: IncomeStatementByPeriod</t>
      </text>
    </comment>
    <comment ref="G44" authorId="0" shapeId="0">
      <text>
        <t>Source: Example Engineering 3 year.xlsx
Type: excel
Location: Sheet: IncomeStatementByPeriod</t>
      </text>
    </comment>
    <comment ref="H44" authorId="0" shapeId="0">
      <text>
        <t>Source: Example Engineering 3 year.xlsx
Type: excel
Location: Sheet: IncomeStatementByPeriod</t>
      </text>
    </comment>
    <comment ref="I44" authorId="0" shapeId="0">
      <text>
        <t>Source: Example Engineering 3 year.xlsx
Type: excel
Location: Sheet: IncomeStatementByPeriod</t>
      </text>
    </comment>
    <comment ref="J44" authorId="0" shapeId="0">
      <text>
        <t>Source: Example Engineering 3 year.xlsx
Type: excel
Location: Sheet: IncomeStatementByPeriod</t>
      </text>
    </comment>
    <comment ref="K44" authorId="0" shapeId="0">
      <text>
        <t>Source: Example Engineering 3 year.xlsx
Type: excel
Location: Sheet: IncomeStatementByPeriod</t>
      </text>
    </comment>
    <comment ref="L44" authorId="0" shapeId="0">
      <text>
        <t>Source: Example Engineering 3 year.xlsx
Type: excel
Location: Sheet: IncomeStatementByPeriod</t>
      </text>
    </comment>
    <comment ref="M44" authorId="0" shapeId="0">
      <text>
        <t>Source: Example Engineering 3 year.xlsx
Type: excel
Location: Sheet: IncomeStatementByPeriod</t>
      </text>
    </comment>
    <comment ref="N44" authorId="0" shapeId="0">
      <text>
        <t>Source: Example Engineering 3 year.xlsx
Type: excel
Location: Sheet: IncomeStatementByPeriod</t>
      </text>
    </comment>
    <comment ref="O44" authorId="0" shapeId="0">
      <text>
        <t>Source: Example Engineering 3 year.xlsx
Type: excel
Location: Sheet: IncomeStatementByPeriod</t>
      </text>
    </comment>
    <comment ref="P44" authorId="0" shapeId="0">
      <text>
        <t>Source: Example Engineering 3 year.xlsx
Type: excel
Location: Sheet: IncomeStatementByPeriod</t>
      </text>
    </comment>
    <comment ref="Q44" authorId="0" shapeId="0">
      <text>
        <t>Source: Example Engineering 3 year.xlsx
Type: excel
Location: Sheet: IncomeStatementByPeriod</t>
      </text>
    </comment>
    <comment ref="R44" authorId="0" shapeId="0">
      <text>
        <t>Source: Example Engineering 3 year.xlsx
Type: excel
Location: Sheet: IncomeStatementByPeriod</t>
      </text>
    </comment>
    <comment ref="S44" authorId="0" shapeId="0">
      <text>
        <t>Source: Example Engineering 3 year.xlsx
Type: excel
Location: Sheet: IncomeStatementByPeriod</t>
      </text>
    </comment>
    <comment ref="T44" authorId="0" shapeId="0">
      <text>
        <t>Source: Example Engineering 3 year.xlsx
Type: excel
Location: Sheet: IncomeStatementByPeriod</t>
      </text>
    </comment>
    <comment ref="U44" authorId="0" shapeId="0">
      <text>
        <t>Source: Example Engineering 3 year.xlsx
Type: excel
Location: Sheet: IncomeStatementByPeriod</t>
      </text>
    </comment>
    <comment ref="V44" authorId="0" shapeId="0">
      <text>
        <t>Source: Example Engineering 3 year.xlsx
Type: excel
Location: Sheet: IncomeStatementByPeriod</t>
      </text>
    </comment>
    <comment ref="W44" authorId="0" shapeId="0">
      <text>
        <t>Source: Example Engineering 3 year.xlsx
Type: excel
Location: Sheet: IncomeStatementByPeriod</t>
      </text>
    </comment>
    <comment ref="X44" authorId="0" shapeId="0">
      <text>
        <t>Source: Example Engineering 3 year.xlsx
Type: excel
Location: Sheet: IncomeStatementByPeriod</t>
      </text>
    </comment>
    <comment ref="Y44" authorId="0" shapeId="0">
      <text>
        <t>Source: Example Engineering 3 year.xlsx
Type: excel
Location: Sheet: IncomeStatementByPeriod</t>
      </text>
    </comment>
    <comment ref="D46" authorId="0" shapeId="0">
      <text>
        <t>Source: Example Engineering 3 year.xlsx
Type: excel
Location: Sheet: IncomeStatementByPeriod</t>
      </text>
    </comment>
    <comment ref="E46" authorId="0" shapeId="0">
      <text>
        <t>Source: Example Engineering 3 year.xlsx
Type: excel
Location: Sheet: IncomeStatementByPeriod</t>
      </text>
    </comment>
    <comment ref="F46" authorId="0" shapeId="0">
      <text>
        <t>Source: Example Engineering 3 year.xlsx
Type: excel
Location: Sheet: IncomeStatementByPeriod</t>
      </text>
    </comment>
    <comment ref="G46" authorId="0" shapeId="0">
      <text>
        <t>Source: Example Engineering 3 year.xlsx
Type: excel
Location: Sheet: IncomeStatementByPeriod</t>
      </text>
    </comment>
    <comment ref="H46" authorId="0" shapeId="0">
      <text>
        <t>Source: Example Engineering 3 year.xlsx
Type: excel
Location: Sheet: IncomeStatementByPeriod</t>
      </text>
    </comment>
    <comment ref="I46" authorId="0" shapeId="0">
      <text>
        <t>Source: Example Engineering 3 year.xlsx
Type: excel
Location: Sheet: IncomeStatementByPeriod</t>
      </text>
    </comment>
    <comment ref="J46" authorId="0" shapeId="0">
      <text>
        <t>Source: Example Engineering 3 year.xlsx
Type: excel
Location: Sheet: IncomeStatementByPeriod</t>
      </text>
    </comment>
    <comment ref="K46" authorId="0" shapeId="0">
      <text>
        <t>Source: Example Engineering 3 year.xlsx
Type: excel
Location: Sheet: IncomeStatementByPeriod</t>
      </text>
    </comment>
    <comment ref="L46" authorId="0" shapeId="0">
      <text>
        <t>Source: Example Engineering 3 year.xlsx
Type: excel
Location: Sheet: IncomeStatementByPeriod</t>
      </text>
    </comment>
    <comment ref="M46" authorId="0" shapeId="0">
      <text>
        <t>Source: Example Engineering 3 year.xlsx
Type: excel
Location: Sheet: IncomeStatementByPeriod</t>
      </text>
    </comment>
    <comment ref="N46" authorId="0" shapeId="0">
      <text>
        <t>Source: Example Engineering 3 year.xlsx
Type: excel
Location: Sheet: IncomeStatementByPeriod</t>
      </text>
    </comment>
    <comment ref="O46" authorId="0" shapeId="0">
      <text>
        <t>Source: Example Engineering 3 year.xlsx
Type: excel
Location: Sheet: IncomeStatementByPeriod</t>
      </text>
    </comment>
    <comment ref="P46" authorId="0" shapeId="0">
      <text>
        <t>Source: Example Engineering 3 year.xlsx
Type: excel
Location: Sheet: IncomeStatementByPeriod</t>
      </text>
    </comment>
    <comment ref="Q46" authorId="0" shapeId="0">
      <text>
        <t>Source: Example Engineering 3 year.xlsx
Type: excel
Location: Sheet: IncomeStatementByPeriod</t>
      </text>
    </comment>
    <comment ref="R46" authorId="0" shapeId="0">
      <text>
        <t>Source: Example Engineering 3 year.xlsx
Type: excel
Location: Sheet: IncomeStatementByPeriod</t>
      </text>
    </comment>
    <comment ref="S46" authorId="0" shapeId="0">
      <text>
        <t>Source: Example Engineering 3 year.xlsx
Type: excel
Location: Sheet: IncomeStatementByPeriod</t>
      </text>
    </comment>
    <comment ref="T46" authorId="0" shapeId="0">
      <text>
        <t>Source: Example Engineering 3 year.xlsx
Type: excel
Location: Sheet: IncomeStatementByPeriod</t>
      </text>
    </comment>
    <comment ref="U46" authorId="0" shapeId="0">
      <text>
        <t>Source: Example Engineering 3 year.xlsx
Type: excel
Location: Sheet: IncomeStatementByPeriod</t>
      </text>
    </comment>
    <comment ref="V46" authorId="0" shapeId="0">
      <text>
        <t>Source: Example Engineering 3 year.xlsx
Type: excel
Location: Sheet: IncomeStatementByPeriod</t>
      </text>
    </comment>
    <comment ref="W46" authorId="0" shapeId="0">
      <text>
        <t>Source: Example Engineering 3 year.xlsx
Type: excel
Location: Sheet: IncomeStatementByPeriod</t>
      </text>
    </comment>
    <comment ref="X46" authorId="0" shapeId="0">
      <text>
        <t>Source: Example Engineering 3 year.xlsx
Type: excel
Location: Sheet: IncomeStatementByPeriod</t>
      </text>
    </comment>
    <comment ref="Y46" authorId="0" shapeId="0">
      <text>
        <t>Source: Example Engineering 3 year.xlsx
Type: excel
Location: Sheet: IncomeStatementByPeriod</t>
      </text>
    </comment>
    <comment ref="D49" authorId="0" shapeId="0">
      <text>
        <t>Source: Example Engineering 3 year.xlsx
Type: excel
Location: Sheet: IncomeStatementByPeriod</t>
      </text>
    </comment>
    <comment ref="E49" authorId="0" shapeId="0">
      <text>
        <t>Source: Example Engineering 3 year.xlsx
Type: excel
Location: Sheet: IncomeStatementByPeriod</t>
      </text>
    </comment>
    <comment ref="F49" authorId="0" shapeId="0">
      <text>
        <t>Source: Example Engineering 3 year.xlsx
Type: excel
Location: Sheet: IncomeStatementByPeriod</t>
      </text>
    </comment>
    <comment ref="G49" authorId="0" shapeId="0">
      <text>
        <t>Source: Example Engineering 3 year.xlsx
Type: excel
Location: Sheet: IncomeStatementByPeriod</t>
      </text>
    </comment>
    <comment ref="H49" authorId="0" shapeId="0">
      <text>
        <t>Source: Example Engineering 3 year.xlsx
Type: excel
Location: Sheet: IncomeStatementByPeriod</t>
      </text>
    </comment>
    <comment ref="I49" authorId="0" shapeId="0">
      <text>
        <t>Source: Example Engineering 3 year.xlsx
Type: excel
Location: Sheet: IncomeStatementByPeriod</t>
      </text>
    </comment>
    <comment ref="J49" authorId="0" shapeId="0">
      <text>
        <t>Source: Example Engineering 3 year.xlsx
Type: excel
Location: Sheet: IncomeStatementByPeriod</t>
      </text>
    </comment>
    <comment ref="K49" authorId="0" shapeId="0">
      <text>
        <t>Source: Example Engineering 3 year.xlsx
Type: excel
Location: Sheet: IncomeStatementByPeriod</t>
      </text>
    </comment>
    <comment ref="L49" authorId="0" shapeId="0">
      <text>
        <t>Source: Example Engineering 3 year.xlsx
Type: excel
Location: Sheet: IncomeStatementByPeriod</t>
      </text>
    </comment>
    <comment ref="M49" authorId="0" shapeId="0">
      <text>
        <t>Source: Example Engineering 3 year.xlsx
Type: excel
Location: Sheet: IncomeStatementByPeriod</t>
      </text>
    </comment>
    <comment ref="N49" authorId="0" shapeId="0">
      <text>
        <t>Source: Example Engineering 3 year.xlsx
Type: excel
Location: Sheet: IncomeStatementByPeriod</t>
      </text>
    </comment>
    <comment ref="O49" authorId="0" shapeId="0">
      <text>
        <t>Source: Example Engineering 3 year.xlsx
Type: excel
Location: Sheet: IncomeStatementByPeriod</t>
      </text>
    </comment>
    <comment ref="P49" authorId="0" shapeId="0">
      <text>
        <t>Source: Example Engineering 3 year.xlsx
Type: excel
Location: Sheet: IncomeStatementByPeriod</t>
      </text>
    </comment>
    <comment ref="Q49" authorId="0" shapeId="0">
      <text>
        <t>Source: Example Engineering 3 year.xlsx
Type: excel
Location: Sheet: IncomeStatementByPeriod</t>
      </text>
    </comment>
    <comment ref="R49" authorId="0" shapeId="0">
      <text>
        <t>Source: Example Engineering 3 year.xlsx
Type: excel
Location: Sheet: IncomeStatementByPeriod</t>
      </text>
    </comment>
    <comment ref="S49" authorId="0" shapeId="0">
      <text>
        <t>Source: Example Engineering 3 year.xlsx
Type: excel
Location: Sheet: IncomeStatementByPeriod</t>
      </text>
    </comment>
    <comment ref="T49" authorId="0" shapeId="0">
      <text>
        <t>Source: Example Engineering 3 year.xlsx
Type: excel
Location: Sheet: IncomeStatementByPeriod</t>
      </text>
    </comment>
    <comment ref="U49" authorId="0" shapeId="0">
      <text>
        <t>Source: Example Engineering 3 year.xlsx
Type: excel
Location: Sheet: IncomeStatementByPeriod</t>
      </text>
    </comment>
    <comment ref="V49" authorId="0" shapeId="0">
      <text>
        <t>Source: Example Engineering 3 year.xlsx
Type: excel
Location: Sheet: IncomeStatementByPeriod</t>
      </text>
    </comment>
    <comment ref="W49" authorId="0" shapeId="0">
      <text>
        <t>Source: Example Engineering 3 year.xlsx
Type: excel
Location: Sheet: IncomeStatementByPeriod</t>
      </text>
    </comment>
    <comment ref="X49" authorId="0" shapeId="0">
      <text>
        <t>Source: Example Engineering 3 year.xlsx
Type: excel
Location: Sheet: IncomeStatementByPeriod</t>
      </text>
    </comment>
    <comment ref="Y49" authorId="0" shapeId="0">
      <text>
        <t>Source: Example Engineering 3 year.xlsx
Type: excel
Location: Sheet: IncomeStatementByPeriod</t>
      </text>
    </comment>
    <comment ref="D50" authorId="0" shapeId="0">
      <text>
        <t>Source: Example Engineering 3 year.xlsx
Type: excel
Location: Sheet: IncomeStatementByPeriod</t>
      </text>
    </comment>
    <comment ref="E50" authorId="0" shapeId="0">
      <text>
        <t>Source: Example Engineering 3 year.xlsx
Type: excel
Location: Sheet: IncomeStatementByPeriod</t>
      </text>
    </comment>
    <comment ref="F50" authorId="0" shapeId="0">
      <text>
        <t>Source: Example Engineering 3 year.xlsx
Type: excel
Location: Sheet: IncomeStatementByPeriod</t>
      </text>
    </comment>
    <comment ref="G50" authorId="0" shapeId="0">
      <text>
        <t>Source: Example Engineering 3 year.xlsx
Type: excel
Location: Sheet: IncomeStatementByPeriod</t>
      </text>
    </comment>
    <comment ref="H50" authorId="0" shapeId="0">
      <text>
        <t>Source: Example Engineering 3 year.xlsx
Type: excel
Location: Sheet: IncomeStatementByPeriod</t>
      </text>
    </comment>
    <comment ref="I50" authorId="0" shapeId="0">
      <text>
        <t>Source: Example Engineering 3 year.xlsx
Type: excel
Location: Sheet: IncomeStatementByPeriod</t>
      </text>
    </comment>
    <comment ref="J50" authorId="0" shapeId="0">
      <text>
        <t>Source: Example Engineering 3 year.xlsx
Type: excel
Location: Sheet: IncomeStatementByPeriod</t>
      </text>
    </comment>
    <comment ref="K50" authorId="0" shapeId="0">
      <text>
        <t>Source: Example Engineering 3 year.xlsx
Type: excel
Location: Sheet: IncomeStatementByPeriod</t>
      </text>
    </comment>
    <comment ref="L50" authorId="0" shapeId="0">
      <text>
        <t>Source: Example Engineering 3 year.xlsx
Type: excel
Location: Sheet: IncomeStatementByPeriod</t>
      </text>
    </comment>
    <comment ref="M50" authorId="0" shapeId="0">
      <text>
        <t>Source: Example Engineering 3 year.xlsx
Type: excel
Location: Sheet: IncomeStatementByPeriod</t>
      </text>
    </comment>
    <comment ref="N50" authorId="0" shapeId="0">
      <text>
        <t>Source: Example Engineering 3 year.xlsx
Type: excel
Location: Sheet: IncomeStatementByPeriod</t>
      </text>
    </comment>
    <comment ref="O50" authorId="0" shapeId="0">
      <text>
        <t>Source: Example Engineering 3 year.xlsx
Type: excel
Location: Sheet: IncomeStatementByPeriod</t>
      </text>
    </comment>
    <comment ref="P50" authorId="0" shapeId="0">
      <text>
        <t>Source: Example Engineering 3 year.xlsx
Type: excel
Location: Sheet: IncomeStatementByPeriod</t>
      </text>
    </comment>
    <comment ref="Q50" authorId="0" shapeId="0">
      <text>
        <t>Source: Example Engineering 3 year.xlsx
Type: excel
Location: Sheet: IncomeStatementByPeriod</t>
      </text>
    </comment>
    <comment ref="R50" authorId="0" shapeId="0">
      <text>
        <t>Source: Example Engineering 3 year.xlsx
Type: excel
Location: Sheet: IncomeStatementByPeriod</t>
      </text>
    </comment>
    <comment ref="S50" authorId="0" shapeId="0">
      <text>
        <t>Source: Example Engineering 3 year.xlsx
Type: excel
Location: Sheet: IncomeStatementByPeriod</t>
      </text>
    </comment>
    <comment ref="T50" authorId="0" shapeId="0">
      <text>
        <t>Source: Example Engineering 3 year.xlsx
Type: excel
Location: Sheet: IncomeStatementByPeriod</t>
      </text>
    </comment>
    <comment ref="U50" authorId="0" shapeId="0">
      <text>
        <t>Source: Example Engineering 3 year.xlsx
Type: excel
Location: Sheet: IncomeStatementByPeriod</t>
      </text>
    </comment>
    <comment ref="V50" authorId="0" shapeId="0">
      <text>
        <t>Source: Example Engineering 3 year.xlsx
Type: excel
Location: Sheet: IncomeStatementByPeriod</t>
      </text>
    </comment>
    <comment ref="W50" authorId="0" shapeId="0">
      <text>
        <t>Source: Example Engineering 3 year.xlsx
Type: excel
Location: Sheet: IncomeStatementByPeriod</t>
      </text>
    </comment>
    <comment ref="X50" authorId="0" shapeId="0">
      <text>
        <t>Source: Example Engineering 3 year.xlsx
Type: excel
Location: Sheet: IncomeStatementByPeriod</t>
      </text>
    </comment>
    <comment ref="Y50" authorId="0" shapeId="0">
      <text>
        <t>Source: Example Engineering 3 year.xlsx
Type: excel
Location: Sheet: IncomeStatementByPeriod</t>
      </text>
    </comment>
    <comment ref="D51" authorId="0" shapeId="0">
      <text>
        <t>Source: Example Engineering 3 year.xlsx
Type: excel
Location: Sheet: IncomeStatementByPeriod</t>
      </text>
    </comment>
    <comment ref="E51" authorId="0" shapeId="0">
      <text>
        <t>Source: Example Engineering 3 year.xlsx
Type: excel
Location: Sheet: IncomeStatementByPeriod</t>
      </text>
    </comment>
    <comment ref="F51" authorId="0" shapeId="0">
      <text>
        <t>Source: Example Engineering 3 year.xlsx
Type: excel
Location: Sheet: IncomeStatementByPeriod</t>
      </text>
    </comment>
    <comment ref="G51" authorId="0" shapeId="0">
      <text>
        <t>Source: Example Engineering 3 year.xlsx
Type: excel
Location: Sheet: IncomeStatementByPeriod</t>
      </text>
    </comment>
    <comment ref="H51" authorId="0" shapeId="0">
      <text>
        <t>Source: Example Engineering 3 year.xlsx
Type: excel
Location: Sheet: IncomeStatementByPeriod</t>
      </text>
    </comment>
    <comment ref="I51" authorId="0" shapeId="0">
      <text>
        <t>Source: Example Engineering 3 year.xlsx
Type: excel
Location: Sheet: IncomeStatementByPeriod</t>
      </text>
    </comment>
    <comment ref="J51" authorId="0" shapeId="0">
      <text>
        <t>Source: Example Engineering 3 year.xlsx
Type: excel
Location: Sheet: IncomeStatementByPeriod</t>
      </text>
    </comment>
    <comment ref="K51" authorId="0" shapeId="0">
      <text>
        <t>Source: Example Engineering 3 year.xlsx
Type: excel
Location: Sheet: IncomeStatementByPeriod</t>
      </text>
    </comment>
    <comment ref="L51" authorId="0" shapeId="0">
      <text>
        <t>Source: Example Engineering 3 year.xlsx
Type: excel
Location: Sheet: IncomeStatementByPeriod</t>
      </text>
    </comment>
    <comment ref="M51" authorId="0" shapeId="0">
      <text>
        <t>Source: Example Engineering 3 year.xlsx
Type: excel
Location: Sheet: IncomeStatementByPeriod</t>
      </text>
    </comment>
    <comment ref="N51" authorId="0" shapeId="0">
      <text>
        <t>Source: Example Engineering 3 year.xlsx
Type: excel
Location: Sheet: IncomeStatementByPeriod</t>
      </text>
    </comment>
    <comment ref="O51" authorId="0" shapeId="0">
      <text>
        <t>Source: Example Engineering 3 year.xlsx
Type: excel
Location: Sheet: IncomeStatementByPeriod</t>
      </text>
    </comment>
    <comment ref="P51" authorId="0" shapeId="0">
      <text>
        <t>Source: Example Engineering 3 year.xlsx
Type: excel
Location: Sheet: IncomeStatementByPeriod</t>
      </text>
    </comment>
    <comment ref="Q51" authorId="0" shapeId="0">
      <text>
        <t>Source: Example Engineering 3 year.xlsx
Type: excel
Location: Sheet: IncomeStatementByPeriod</t>
      </text>
    </comment>
    <comment ref="R51" authorId="0" shapeId="0">
      <text>
        <t>Source: Example Engineering 3 year.xlsx
Type: excel
Location: Sheet: IncomeStatementByPeriod</t>
      </text>
    </comment>
    <comment ref="S51" authorId="0" shapeId="0">
      <text>
        <t>Source: Example Engineering 3 year.xlsx
Type: excel
Location: Sheet: IncomeStatementByPeriod</t>
      </text>
    </comment>
    <comment ref="T51" authorId="0" shapeId="0">
      <text>
        <t>Source: Example Engineering 3 year.xlsx
Type: excel
Location: Sheet: IncomeStatementByPeriod</t>
      </text>
    </comment>
    <comment ref="U51" authorId="0" shapeId="0">
      <text>
        <t>Source: Example Engineering 3 year.xlsx
Type: excel
Location: Sheet: IncomeStatementByPeriod</t>
      </text>
    </comment>
    <comment ref="V51" authorId="0" shapeId="0">
      <text>
        <t>Source: Example Engineering 3 year.xlsx
Type: excel
Location: Sheet: IncomeStatementByPeriod</t>
      </text>
    </comment>
    <comment ref="W51" authorId="0" shapeId="0">
      <text>
        <t>Source: Example Engineering 3 year.xlsx
Type: excel
Location: Sheet: IncomeStatementByPeriod</t>
      </text>
    </comment>
    <comment ref="X51" authorId="0" shapeId="0">
      <text>
        <t>Source: Example Engineering 3 year.xlsx
Type: excel
Location: Sheet: IncomeStatementByPeriod</t>
      </text>
    </comment>
    <comment ref="Y51" authorId="0" shapeId="0">
      <text>
        <t>Source: Example Engineering 3 year.xlsx
Type: excel
Location: Sheet: IncomeStatementByPeriod</t>
      </text>
    </comment>
    <comment ref="D52" authorId="0" shapeId="0">
      <text>
        <t>Source: Example Engineering 3 year.xlsx
Type: excel
Location: Sheet: IncomeStatementByPeriod</t>
      </text>
    </comment>
    <comment ref="E52" authorId="0" shapeId="0">
      <text>
        <t>Source: Example Engineering 3 year.xlsx
Type: excel
Location: Sheet: IncomeStatementByPeriod</t>
      </text>
    </comment>
    <comment ref="F52" authorId="0" shapeId="0">
      <text>
        <t>Source: Example Engineering 3 year.xlsx
Type: excel
Location: Sheet: IncomeStatementByPeriod</t>
      </text>
    </comment>
    <comment ref="G52" authorId="0" shapeId="0">
      <text>
        <t>Source: Example Engineering 3 year.xlsx
Type: excel
Location: Sheet: IncomeStatementByPeriod</t>
      </text>
    </comment>
    <comment ref="H52" authorId="0" shapeId="0">
      <text>
        <t>Source: Example Engineering 3 year.xlsx
Type: excel
Location: Sheet: IncomeStatementByPeriod</t>
      </text>
    </comment>
    <comment ref="I52" authorId="0" shapeId="0">
      <text>
        <t>Source: Example Engineering 3 year.xlsx
Type: excel
Location: Sheet: IncomeStatementByPeriod</t>
      </text>
    </comment>
    <comment ref="J52" authorId="0" shapeId="0">
      <text>
        <t>Source: Example Engineering 3 year.xlsx
Type: excel
Location: Sheet: IncomeStatementByPeriod</t>
      </text>
    </comment>
    <comment ref="K52" authorId="0" shapeId="0">
      <text>
        <t>Source: Example Engineering 3 year.xlsx
Type: excel
Location: Sheet: IncomeStatementByPeriod</t>
      </text>
    </comment>
    <comment ref="L52" authorId="0" shapeId="0">
      <text>
        <t>Source: Example Engineering 3 year.xlsx
Type: excel
Location: Sheet: IncomeStatementByPeriod</t>
      </text>
    </comment>
    <comment ref="M52" authorId="0" shapeId="0">
      <text>
        <t>Source: Example Engineering 3 year.xlsx
Type: excel
Location: Sheet: IncomeStatementByPeriod</t>
      </text>
    </comment>
    <comment ref="N52" authorId="0" shapeId="0">
      <text>
        <t>Source: Example Engineering 3 year.xlsx
Type: excel
Location: Sheet: IncomeStatementByPeriod</t>
      </text>
    </comment>
    <comment ref="O52" authorId="0" shapeId="0">
      <text>
        <t>Source: Example Engineering 3 year.xlsx
Type: excel
Location: Sheet: IncomeStatementByPeriod</t>
      </text>
    </comment>
    <comment ref="P52" authorId="0" shapeId="0">
      <text>
        <t>Source: Example Engineering 3 year.xlsx
Type: excel
Location: Sheet: IncomeStatementByPeriod</t>
      </text>
    </comment>
    <comment ref="Q52" authorId="0" shapeId="0">
      <text>
        <t>Source: Example Engineering 3 year.xlsx
Type: excel
Location: Sheet: IncomeStatementByPeriod</t>
      </text>
    </comment>
    <comment ref="R52" authorId="0" shapeId="0">
      <text>
        <t>Source: Example Engineering 3 year.xlsx
Type: excel
Location: Sheet: IncomeStatementByPeriod</t>
      </text>
    </comment>
    <comment ref="S52" authorId="0" shapeId="0">
      <text>
        <t>Source: Example Engineering 3 year.xlsx
Type: excel
Location: Sheet: IncomeStatementByPeriod</t>
      </text>
    </comment>
    <comment ref="T52" authorId="0" shapeId="0">
      <text>
        <t>Source: Example Engineering 3 year.xlsx
Type: excel
Location: Sheet: IncomeStatementByPeriod</t>
      </text>
    </comment>
    <comment ref="U52" authorId="0" shapeId="0">
      <text>
        <t>Source: Example Engineering 3 year.xlsx
Type: excel
Location: Sheet: IncomeStatementByPeriod</t>
      </text>
    </comment>
    <comment ref="V52" authorId="0" shapeId="0">
      <text>
        <t>Source: Example Engineering 3 year.xlsx
Type: excel
Location: Sheet: IncomeStatementByPeriod</t>
      </text>
    </comment>
    <comment ref="W52" authorId="0" shapeId="0">
      <text>
        <t>Source: Example Engineering 3 year.xlsx
Type: excel
Location: Sheet: IncomeStatementByPeriod</t>
      </text>
    </comment>
    <comment ref="X52" authorId="0" shapeId="0">
      <text>
        <t>Source: Example Engineering 3 year.xlsx
Type: excel
Location: Sheet: IncomeStatementByPeriod</t>
      </text>
    </comment>
    <comment ref="Y52" authorId="0" shapeId="0">
      <text>
        <t>Source: Example Engineering 3 year.xlsx
Type: excel
Location: Sheet: IncomeStatementByPeriod</t>
      </text>
    </comment>
    <comment ref="D53" authorId="0" shapeId="0">
      <text>
        <t>Source: Example Engineering 3 year.xlsx
Type: excel
Location: Sheet: IncomeStatementByPeriod</t>
      </text>
    </comment>
    <comment ref="E53" authorId="0" shapeId="0">
      <text>
        <t>Source: Example Engineering 3 year.xlsx
Type: excel
Location: Sheet: IncomeStatementByPeriod</t>
      </text>
    </comment>
    <comment ref="F53" authorId="0" shapeId="0">
      <text>
        <t>Source: Example Engineering 3 year.xlsx
Type: excel
Location: Sheet: IncomeStatementByPeriod</t>
      </text>
    </comment>
    <comment ref="G53" authorId="0" shapeId="0">
      <text>
        <t>Source: Example Engineering 3 year.xlsx
Type: excel
Location: Sheet: IncomeStatementByPeriod</t>
      </text>
    </comment>
    <comment ref="H53" authorId="0" shapeId="0">
      <text>
        <t>Source: Example Engineering 3 year.xlsx
Type: excel
Location: Sheet: IncomeStatementByPeriod</t>
      </text>
    </comment>
    <comment ref="I53" authorId="0" shapeId="0">
      <text>
        <t>Source: Example Engineering 3 year.xlsx
Type: excel
Location: Sheet: IncomeStatementByPeriod</t>
      </text>
    </comment>
    <comment ref="J53" authorId="0" shapeId="0">
      <text>
        <t>Source: Example Engineering 3 year.xlsx
Type: excel
Location: Sheet: IncomeStatementByPeriod</t>
      </text>
    </comment>
    <comment ref="K53" authorId="0" shapeId="0">
      <text>
        <t>Source: Example Engineering 3 year.xlsx
Type: excel
Location: Sheet: IncomeStatementByPeriod</t>
      </text>
    </comment>
    <comment ref="L53" authorId="0" shapeId="0">
      <text>
        <t>Source: Example Engineering 3 year.xlsx
Type: excel
Location: Sheet: IncomeStatementByPeriod</t>
      </text>
    </comment>
    <comment ref="M53" authorId="0" shapeId="0">
      <text>
        <t>Source: Example Engineering 3 year.xlsx
Type: excel
Location: Sheet: IncomeStatementByPeriod</t>
      </text>
    </comment>
    <comment ref="N53" authorId="0" shapeId="0">
      <text>
        <t>Source: Example Engineering 3 year.xlsx
Type: excel
Location: Sheet: IncomeStatementByPeriod</t>
      </text>
    </comment>
    <comment ref="O53" authorId="0" shapeId="0">
      <text>
        <t>Source: Example Engineering 3 year.xlsx
Type: excel
Location: Sheet: IncomeStatementByPeriod</t>
      </text>
    </comment>
    <comment ref="P53" authorId="0" shapeId="0">
      <text>
        <t>Source: Example Engineering 3 year.xlsx
Type: excel
Location: Sheet: IncomeStatementByPeriod</t>
      </text>
    </comment>
    <comment ref="Q53" authorId="0" shapeId="0">
      <text>
        <t>Source: Example Engineering 3 year.xlsx
Type: excel
Location: Sheet: IncomeStatementByPeriod</t>
      </text>
    </comment>
    <comment ref="R53" authorId="0" shapeId="0">
      <text>
        <t>Source: Example Engineering 3 year.xlsx
Type: excel
Location: Sheet: IncomeStatementByPeriod</t>
      </text>
    </comment>
    <comment ref="S53" authorId="0" shapeId="0">
      <text>
        <t>Source: Example Engineering 3 year.xlsx
Type: excel
Location: Sheet: IncomeStatementByPeriod</t>
      </text>
    </comment>
    <comment ref="T53" authorId="0" shapeId="0">
      <text>
        <t>Source: Example Engineering 3 year.xlsx
Type: excel
Location: Sheet: IncomeStatementByPeriod</t>
      </text>
    </comment>
    <comment ref="U53" authorId="0" shapeId="0">
      <text>
        <t>Source: Example Engineering 3 year.xlsx
Type: excel
Location: Sheet: IncomeStatementByPeriod</t>
      </text>
    </comment>
    <comment ref="V53" authorId="0" shapeId="0">
      <text>
        <t>Source: Example Engineering 3 year.xlsx
Type: excel
Location: Sheet: IncomeStatementByPeriod</t>
      </text>
    </comment>
    <comment ref="W53" authorId="0" shapeId="0">
      <text>
        <t>Source: Example Engineering 3 year.xlsx
Type: excel
Location: Sheet: IncomeStatementByPeriod</t>
      </text>
    </comment>
    <comment ref="X53" authorId="0" shapeId="0">
      <text>
        <t>Source: Example Engineering 3 year.xlsx
Type: excel
Location: Sheet: IncomeStatementByPeriod</t>
      </text>
    </comment>
    <comment ref="Y53" authorId="0" shapeId="0">
      <text>
        <t>Source: Example Engineering 3 year.xlsx
Type: excel
Location: Sheet: IncomeStatementByPeriod</t>
      </text>
    </comment>
    <comment ref="D59" authorId="0" shapeId="0">
      <text>
        <t>Source: Example Engineering 3 year.xlsx
Type: excel
Location: Sheet: IncomeStatementByPeriod</t>
      </text>
    </comment>
    <comment ref="E59" authorId="0" shapeId="0">
      <text>
        <t>Source: Example Engineering 3 year.xlsx
Type: excel
Location: Sheet: IncomeStatementByPeriod</t>
      </text>
    </comment>
    <comment ref="F59" authorId="0" shapeId="0">
      <text>
        <t>Source: Example Engineering 3 year.xlsx
Type: excel
Location: Sheet: IncomeStatementByPeriod</t>
      </text>
    </comment>
    <comment ref="G59" authorId="0" shapeId="0">
      <text>
        <t>Source: Example Engineering 3 year.xlsx
Type: excel
Location: Sheet: IncomeStatementByPeriod</t>
      </text>
    </comment>
    <comment ref="H59" authorId="0" shapeId="0">
      <text>
        <t>Source: Example Engineering 3 year.xlsx
Type: excel
Location: Sheet: IncomeStatementByPeriod</t>
      </text>
    </comment>
    <comment ref="I59" authorId="0" shapeId="0">
      <text>
        <t>Source: Example Engineering 3 year.xlsx
Type: excel
Location: Sheet: IncomeStatementByPeriod</t>
      </text>
    </comment>
    <comment ref="J59" authorId="0" shapeId="0">
      <text>
        <t>Source: Example Engineering 3 year.xlsx
Type: excel
Location: Sheet: IncomeStatementByPeriod</t>
      </text>
    </comment>
    <comment ref="K59" authorId="0" shapeId="0">
      <text>
        <t>Source: Example Engineering 3 year.xlsx
Type: excel
Location: Sheet: IncomeStatementByPeriod</t>
      </text>
    </comment>
    <comment ref="L59" authorId="0" shapeId="0">
      <text>
        <t>Source: Example Engineering 3 year.xlsx
Type: excel
Location: Sheet: IncomeStatementByPeriod</t>
      </text>
    </comment>
    <comment ref="M59" authorId="0" shapeId="0">
      <text>
        <t>Source: Example Engineering 3 year.xlsx
Type: excel
Location: Sheet: IncomeStatementByPeriod</t>
      </text>
    </comment>
    <comment ref="N59" authorId="0" shapeId="0">
      <text>
        <t>Source: Example Engineering 3 year.xlsx
Type: excel
Location: Sheet: IncomeStatementByPeriod</t>
      </text>
    </comment>
    <comment ref="O59" authorId="0" shapeId="0">
      <text>
        <t>Source: Example Engineering 3 year.xlsx
Type: excel
Location: Sheet: IncomeStatementByPeriod</t>
      </text>
    </comment>
    <comment ref="P59" authorId="0" shapeId="0">
      <text>
        <t>Source: Example Engineering 3 year.xlsx
Type: excel
Location: Sheet: IncomeStatementByPeriod</t>
      </text>
    </comment>
    <comment ref="Q59" authorId="0" shapeId="0">
      <text>
        <t>Source: Example Engineering 3 year.xlsx
Type: excel
Location: Sheet: IncomeStatementByPeriod</t>
      </text>
    </comment>
    <comment ref="R59" authorId="0" shapeId="0">
      <text>
        <t>Source: Example Engineering 3 year.xlsx
Type: excel
Location: Sheet: IncomeStatementByPeriod</t>
      </text>
    </comment>
    <comment ref="S59" authorId="0" shapeId="0">
      <text>
        <t>Source: Example Engineering 3 year.xlsx
Type: excel
Location: Sheet: IncomeStatementByPeriod</t>
      </text>
    </comment>
    <comment ref="T59" authorId="0" shapeId="0">
      <text>
        <t>Source: Example Engineering 3 year.xlsx
Type: excel
Location: Sheet: IncomeStatementByPeriod</t>
      </text>
    </comment>
    <comment ref="U59" authorId="0" shapeId="0">
      <text>
        <t>Source: Example Engineering 3 year.xlsx
Type: excel
Location: Sheet: IncomeStatementByPeriod</t>
      </text>
    </comment>
    <comment ref="V59" authorId="0" shapeId="0">
      <text>
        <t>Source: Example Engineering 3 year.xlsx
Type: excel
Location: Sheet: IncomeStatementByPeriod</t>
      </text>
    </comment>
    <comment ref="W59" authorId="0" shapeId="0">
      <text>
        <t>Source: Example Engineering 3 year.xlsx
Type: excel
Location: Sheet: IncomeStatementByPeriod</t>
      </text>
    </comment>
    <comment ref="X59" authorId="0" shapeId="0">
      <text>
        <t>Source: Example Engineering 3 year.xlsx
Type: excel
Location: Sheet: IncomeStatementByPeriod</t>
      </text>
    </comment>
    <comment ref="Y59" authorId="0" shapeId="0">
      <text>
        <t>Source: Example Engineering 3 year.xlsx
Type: excel
Location: Sheet: IncomeStatementByPeriod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Inputs'!B2" TargetMode="External" Id="rId1"/><Relationship Type="http://schemas.openxmlformats.org/officeDocument/2006/relationships/hyperlink" Target="#'Sales Pipeline'!B2" TargetMode="External" Id="rId2"/><Relationship Type="http://schemas.openxmlformats.org/officeDocument/2006/relationships/hyperlink" Target="#'Exec Summary'!B2" TargetMode="External" Id="rId3"/><Relationship Type="http://schemas.openxmlformats.org/officeDocument/2006/relationships/hyperlink" Target="#'Income Statement'!B2" TargetMode="External" Id="rId4"/><Relationship Type="http://schemas.openxmlformats.org/officeDocument/2006/relationships/hyperlink" Target="#'Cash Flow'!B2" TargetMode="External" Id="rId5"/><Relationship Type="http://schemas.openxmlformats.org/officeDocument/2006/relationships/hyperlink" Target="#'Balance Sheet'!B2" TargetMode="External" Id="rId6"/><Relationship Type="http://schemas.openxmlformats.org/officeDocument/2006/relationships/hyperlink" Target="#'Model'!B2" TargetMode="External" Id="rId7"/></Relationships>
</file>

<file path=xl/worksheets/_rels/sheet2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#'Cover'!B2" TargetMode="Externa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9.xml.rels><Relationships xmlns="http://schemas.openxmlformats.org/package/2006/relationships"><Relationship Type="http://schemas.openxmlformats.org/officeDocument/2006/relationships/hyperlink" Target="#'Cover'!B2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5" customWidth="1" min="2" max="2"/>
    <col width="10" customWidth="1" min="3" max="3"/>
  </cols>
  <sheetData>
    <row r="1" ht="6" customHeight="1"/>
    <row r="2">
      <c r="B2" s="1" t="inlineStr">
        <is>
          <t>Acme Corp</t>
        </is>
      </c>
    </row>
    <row r="3">
      <c r="B3" s="1" t="inlineStr">
        <is>
          <t>Acme Corp Operating Plan</t>
        </is>
      </c>
    </row>
    <row r="5">
      <c r="B5" s="2" t="inlineStr">
        <is>
          <t>Quarterly operating plan for Acme Corp: 2021-Q1..2026-Q2 actuals, 2026-Q3..2028-Q4 forecast. Revenue = named sales pipeline + unidentified new projects (count x ACV), split T&amp;M / fixed price / Series Production batch build; T&amp;M costs from material markup and labour bill/cost rates; Series Production at its own observed margin; fixed-price margin backed into a 54% blended target.</t>
        </is>
      </c>
    </row>
    <row r="7" ht="20" customHeight="1">
      <c r="B7" s="3" t="inlineStr">
        <is>
          <t>Inputs</t>
        </is>
      </c>
    </row>
    <row r="8">
      <c r="B8" s="4" t="inlineStr">
        <is>
          <t>Inputs</t>
        </is>
      </c>
    </row>
    <row r="9">
      <c r="B9" s="4" t="inlineStr">
        <is>
          <t>Sales Pipeline</t>
        </is>
      </c>
    </row>
    <row r="11" ht="20" customHeight="1">
      <c r="B11" s="3" t="inlineStr">
        <is>
          <t>Views</t>
        </is>
      </c>
    </row>
    <row r="12">
      <c r="B12" s="4" t="inlineStr">
        <is>
          <t>Exec Summary</t>
        </is>
      </c>
    </row>
    <row r="13">
      <c r="B13" s="4" t="inlineStr">
        <is>
          <t>Income Statement</t>
        </is>
      </c>
    </row>
    <row r="14">
      <c r="B14" s="4" t="inlineStr">
        <is>
          <t>Cash Flow</t>
        </is>
      </c>
    </row>
    <row r="15">
      <c r="B15" s="4" t="inlineStr">
        <is>
          <t>Balance Sheet</t>
        </is>
      </c>
    </row>
    <row r="17" ht="20" customHeight="1">
      <c r="B17" s="3" t="inlineStr">
        <is>
          <t>Models</t>
        </is>
      </c>
    </row>
    <row r="18">
      <c r="B18" s="4" t="inlineStr">
        <is>
          <t>Model</t>
        </is>
      </c>
    </row>
    <row r="20" ht="20" customHeight="1">
      <c r="B20" s="3" t="inlineStr">
        <is>
          <t>Legend</t>
        </is>
      </c>
    </row>
    <row r="21">
      <c r="B21" s="5" t="inlineStr">
        <is>
          <t>Record (historical)</t>
        </is>
      </c>
    </row>
    <row r="22">
      <c r="B22" s="6" t="inlineStr">
        <is>
          <t>Forecast (modeled)</t>
        </is>
      </c>
    </row>
    <row r="23">
      <c r="B23" t="inlineStr">
        <is>
          <t>Neutral (mixed/unspecified)</t>
        </is>
      </c>
    </row>
  </sheetData>
  <hyperlinks>
    <hyperlink xmlns:r="http://schemas.openxmlformats.org/officeDocument/2006/relationships" ref="B8" r:id="rId1"/>
    <hyperlink xmlns:r="http://schemas.openxmlformats.org/officeDocument/2006/relationships" ref="B9" r:id="rId2"/>
    <hyperlink xmlns:r="http://schemas.openxmlformats.org/officeDocument/2006/relationships" ref="B12" r:id="rId3"/>
    <hyperlink xmlns:r="http://schemas.openxmlformats.org/officeDocument/2006/relationships" ref="B13" r:id="rId4"/>
    <hyperlink xmlns:r="http://schemas.openxmlformats.org/officeDocument/2006/relationships" ref="B14" r:id="rId5"/>
    <hyperlink xmlns:r="http://schemas.openxmlformats.org/officeDocument/2006/relationships" ref="B15" r:id="rId6"/>
    <hyperlink xmlns:r="http://schemas.openxmlformats.org/officeDocument/2006/relationships" ref="B18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60"/>
  <sheetViews>
    <sheetView showGridLines="0" workbookViewId="0">
      <pane xSplit="3" ySplit="6" topLeftCell="D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 ht="6" customHeight="1"/>
    <row r="2">
      <c r="B2" s="1" t="inlineStr">
        <is>
          <t>Inputs</t>
        </is>
      </c>
    </row>
    <row r="3">
      <c r="B3" s="4" t="inlineStr">
        <is>
          <t>Link to Cover</t>
        </is>
      </c>
    </row>
    <row r="4">
      <c r="A4" s="7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C6" s="8" t="n"/>
      <c r="D6" s="9" t="inlineStr">
        <is>
          <t>Q3 '26</t>
        </is>
      </c>
      <c r="E6" s="9" t="inlineStr">
        <is>
          <t>Q4 '26</t>
        </is>
      </c>
      <c r="F6" s="9" t="inlineStr">
        <is>
          <t>Q1 '27</t>
        </is>
      </c>
      <c r="G6" s="9" t="inlineStr">
        <is>
          <t>Q2 '27</t>
        </is>
      </c>
      <c r="H6" s="9" t="inlineStr">
        <is>
          <t>Q3 '27</t>
        </is>
      </c>
      <c r="I6" s="9" t="inlineStr">
        <is>
          <t>Q4 '27</t>
        </is>
      </c>
      <c r="J6" s="9" t="inlineStr">
        <is>
          <t>Q1 '28</t>
        </is>
      </c>
      <c r="K6" s="9" t="inlineStr">
        <is>
          <t>Q2 '28</t>
        </is>
      </c>
      <c r="L6" s="9" t="inlineStr">
        <is>
          <t>Q3 '28</t>
        </is>
      </c>
      <c r="M6" s="9" t="inlineStr">
        <is>
          <t>Q4 '28</t>
        </is>
      </c>
    </row>
    <row r="7"/>
    <row r="8" ht="20" customHeight="1">
      <c r="B8" s="3" t="inlineStr">
        <is>
          <t>Revenue Drivers</t>
        </is>
      </c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</row>
    <row r="9" ht="6" customHeight="1"/>
    <row r="10">
      <c r="B10" t="inlineStr">
        <is>
          <t>New T&amp;M Projects Won (unidentified)</t>
        </is>
      </c>
      <c r="D10" s="11" t="n">
        <v>4</v>
      </c>
      <c r="E10" s="11" t="n">
        <v>8</v>
      </c>
      <c r="F10" s="11" t="n">
        <v>13</v>
      </c>
      <c r="G10" s="11" t="n">
        <v>14</v>
      </c>
      <c r="H10" s="11" t="n">
        <v>15</v>
      </c>
      <c r="I10" s="11" t="n">
        <v>16</v>
      </c>
      <c r="J10" s="11" t="n">
        <v>16</v>
      </c>
      <c r="K10" s="11" t="n">
        <v>17</v>
      </c>
      <c r="L10" s="11" t="n">
        <v>17</v>
      </c>
      <c r="M10" s="11" t="n">
        <v>18</v>
      </c>
    </row>
    <row r="11" ht="6" customHeight="1"/>
    <row r="12">
      <c r="B12" t="inlineStr">
        <is>
          <t>T&amp;M Average Contract Value (starting)</t>
        </is>
      </c>
      <c r="C12" s="11" t="n">
        <v>437500</v>
      </c>
    </row>
    <row r="13" ht="6" customHeight="1"/>
    <row r="14">
      <c r="B14" t="inlineStr">
        <is>
          <t>T&amp;M ACV Growth (per quarter)</t>
        </is>
      </c>
      <c r="D14" s="12" t="n">
        <v>0.015</v>
      </c>
      <c r="E14" s="12" t="n">
        <v>0.015</v>
      </c>
      <c r="F14" s="12" t="n">
        <v>0.015</v>
      </c>
      <c r="G14" s="12" t="n">
        <v>0.015</v>
      </c>
      <c r="H14" s="12" t="n">
        <v>0.015</v>
      </c>
      <c r="I14" s="12" t="n">
        <v>0.015</v>
      </c>
      <c r="J14" s="12" t="n">
        <v>0.015</v>
      </c>
      <c r="K14" s="12" t="n">
        <v>0.015</v>
      </c>
      <c r="L14" s="12" t="n">
        <v>0.015</v>
      </c>
      <c r="M14" s="12" t="n">
        <v>0.015</v>
      </c>
    </row>
    <row r="15">
      <c r="B15" t="inlineStr">
        <is>
          <t>New Fixed-Price Projects Won (unidentified)</t>
        </is>
      </c>
      <c r="D15" s="11" t="n">
        <v>1</v>
      </c>
      <c r="E15" s="11" t="n">
        <v>2</v>
      </c>
      <c r="F15" s="11" t="n">
        <v>3</v>
      </c>
      <c r="G15" s="11" t="n">
        <v>3</v>
      </c>
      <c r="H15" s="11" t="n">
        <v>3</v>
      </c>
      <c r="I15" s="11" t="n">
        <v>3</v>
      </c>
      <c r="J15" s="11" t="n">
        <v>3</v>
      </c>
      <c r="K15" s="11" t="n">
        <v>3</v>
      </c>
      <c r="L15" s="11" t="n">
        <v>3</v>
      </c>
      <c r="M15" s="11" t="n">
        <v>3</v>
      </c>
    </row>
    <row r="16" ht="6" customHeight="1"/>
    <row r="17">
      <c r="B17" t="inlineStr">
        <is>
          <t>Fixed-Price Average Contract Value (starting)</t>
        </is>
      </c>
      <c r="C17" s="11" t="n">
        <v>265000</v>
      </c>
    </row>
    <row r="18" ht="6" customHeight="1"/>
    <row r="19">
      <c r="B19" t="inlineStr">
        <is>
          <t>Fixed-Price ACV Growth (per quarter)</t>
        </is>
      </c>
      <c r="D19" s="12" t="n">
        <v>0.015</v>
      </c>
      <c r="E19" s="12" t="n">
        <v>0.015</v>
      </c>
      <c r="F19" s="12" t="n">
        <v>0.015</v>
      </c>
      <c r="G19" s="12" t="n">
        <v>0.015</v>
      </c>
      <c r="H19" s="12" t="n">
        <v>0.015</v>
      </c>
      <c r="I19" s="12" t="n">
        <v>0.015</v>
      </c>
      <c r="J19" s="12" t="n">
        <v>0.015</v>
      </c>
      <c r="K19" s="12" t="n">
        <v>0.015</v>
      </c>
      <c r="L19" s="12" t="n">
        <v>0.015</v>
      </c>
      <c r="M19" s="12" t="n">
        <v>0.015</v>
      </c>
    </row>
    <row r="20" ht="6" customHeight="1"/>
    <row r="21">
      <c r="B21" t="inlineStr">
        <is>
          <t>Revenue Recognised in Booking Quarter</t>
        </is>
      </c>
      <c r="C21" s="12" t="n">
        <v>0.3333333333333333</v>
      </c>
    </row>
    <row r="22">
      <c r="B22" t="inlineStr">
        <is>
          <t>Revenue Recognised in Following Quarter</t>
        </is>
      </c>
      <c r="C22" s="12" t="n">
        <v>0.6666666666666666</v>
      </c>
    </row>
    <row r="23">
      <c r="B23" t="inlineStr">
        <is>
          <t>Pipeline Revenue: T&amp;M Share</t>
        </is>
      </c>
      <c r="C23" s="12" t="n">
        <v>0.733</v>
      </c>
    </row>
    <row r="24">
      <c r="B24" t="inlineStr">
        <is>
          <t>T&amp;M Revenue: Material Share</t>
        </is>
      </c>
      <c r="C24" s="12" t="n">
        <v>0.187</v>
      </c>
    </row>
    <row r="25" ht="6" customHeight="1"/>
    <row r="26">
      <c r="B26" t="inlineStr">
        <is>
          <t>Series Production Revenue</t>
        </is>
      </c>
      <c r="D26" s="11" t="n">
        <v>590000</v>
      </c>
      <c r="E26" s="11" t="n">
        <v>590000</v>
      </c>
      <c r="F26" s="11" t="n">
        <v>590000</v>
      </c>
      <c r="G26" s="11" t="n">
        <v>590000</v>
      </c>
      <c r="H26" s="11" t="n">
        <v>590000</v>
      </c>
      <c r="I26" s="11" t="n">
        <v>590000</v>
      </c>
      <c r="J26" s="11" t="n">
        <v>590000</v>
      </c>
      <c r="K26" s="11" t="n">
        <v>590000</v>
      </c>
      <c r="L26" s="11" t="n">
        <v>590000</v>
      </c>
      <c r="M26" s="11" t="n">
        <v>590000</v>
      </c>
    </row>
    <row r="27"/>
    <row r="28" ht="20" customHeight="1">
      <c r="B28" s="3" t="inlineStr">
        <is>
          <t>Cost Drivers</t>
        </is>
      </c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</row>
    <row r="29" ht="6" customHeight="1"/>
    <row r="30">
      <c r="B30" t="inlineStr">
        <is>
          <t>Material Markup</t>
        </is>
      </c>
      <c r="C30" s="12" t="n">
        <v>0.15</v>
      </c>
    </row>
    <row r="31">
      <c r="B31" t="inlineStr">
        <is>
          <t>Labour Bill Rate ($/hr)</t>
        </is>
      </c>
      <c r="C31" s="11" t="n">
        <v>180</v>
      </c>
    </row>
    <row r="32">
      <c r="B32" t="inlineStr">
        <is>
          <t>Labour Cost Rate ($/hr)</t>
        </is>
      </c>
      <c r="C32" s="11" t="n">
        <v>55</v>
      </c>
    </row>
    <row r="33">
      <c r="B33" t="inlineStr">
        <is>
          <t>Series Production Gross Margin</t>
        </is>
      </c>
      <c r="C33" s="12" t="n">
        <v>0.537</v>
      </c>
    </row>
    <row r="34">
      <c r="B34" t="inlineStr">
        <is>
          <t>Target Blended Gross Margin</t>
        </is>
      </c>
      <c r="C34" s="12" t="n">
        <v>0.537</v>
      </c>
    </row>
    <row r="35">
      <c r="B35" t="inlineStr">
        <is>
          <t>Fixed-Price Gross Margin Floor</t>
        </is>
      </c>
      <c r="C35" s="12" t="n">
        <v>0.2</v>
      </c>
    </row>
    <row r="36"/>
    <row r="37" ht="20" customHeight="1">
      <c r="B37" s="3" t="inlineStr">
        <is>
          <t>Operating Expenses</t>
        </is>
      </c>
      <c r="C37" s="10" t="n"/>
      <c r="D37" s="10" t="n"/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</row>
    <row r="38" ht="6" customHeight="1"/>
    <row r="39">
      <c r="B39" t="inlineStr">
        <is>
          <t>S&amp;M % of Revenue</t>
        </is>
      </c>
      <c r="C39" s="12" t="n">
        <v>0.03</v>
      </c>
    </row>
    <row r="40">
      <c r="B40" t="inlineStr">
        <is>
          <t>G&amp;A Run-Rate (annual, 2026-Q2 $)</t>
        </is>
      </c>
      <c r="C40" s="11" t="n">
        <v>1820000</v>
      </c>
    </row>
    <row r="41">
      <c r="B41" t="inlineStr">
        <is>
          <t>Overhead Run-Rate (annual, 2026-Q2 $)</t>
        </is>
      </c>
      <c r="C41" s="11" t="n">
        <v>2130000</v>
      </c>
    </row>
    <row r="42">
      <c r="B42" t="inlineStr">
        <is>
          <t>Fringe Run-Rate (annual, 2026-Q2 $)</t>
        </is>
      </c>
      <c r="C42" s="11" t="n">
        <v>1790000</v>
      </c>
    </row>
    <row r="43">
      <c r="B43" t="inlineStr">
        <is>
          <t>Facilities Run-Rate (annual, 2026-Q2 $)</t>
        </is>
      </c>
      <c r="C43" s="11" t="n">
        <v>580000</v>
      </c>
    </row>
    <row r="44">
      <c r="B44" t="inlineStr">
        <is>
          <t>Fixed Opex Inflation (per quarter)</t>
        </is>
      </c>
      <c r="C44" s="12" t="n">
        <v>0.006</v>
      </c>
    </row>
    <row r="45">
      <c r="B45" t="inlineStr">
        <is>
          <t>Fixed Opex Index at 2026-Q2</t>
        </is>
      </c>
      <c r="C45" s="11" t="n">
        <v>1</v>
      </c>
    </row>
    <row r="46"/>
    <row r="47" ht="20" customHeight="1">
      <c r="B47" s="3" t="inlineStr">
        <is>
          <t>Capex &amp; Working Capital</t>
        </is>
      </c>
      <c r="C47" s="10" t="n"/>
      <c r="D47" s="10" t="n"/>
      <c r="E47" s="10" t="n"/>
      <c r="F47" s="10" t="n"/>
      <c r="G47" s="10" t="n"/>
      <c r="H47" s="10" t="n"/>
      <c r="I47" s="10" t="n"/>
      <c r="J47" s="10" t="n"/>
      <c r="K47" s="10" t="n"/>
      <c r="L47" s="10" t="n"/>
      <c r="M47" s="10" t="n"/>
    </row>
    <row r="48" ht="6" customHeight="1"/>
    <row r="49">
      <c r="B49" t="inlineStr">
        <is>
          <t>Capex (annual)</t>
        </is>
      </c>
      <c r="C49" s="11" t="n">
        <v>340000</v>
      </c>
    </row>
    <row r="50">
      <c r="B50" t="inlineStr">
        <is>
          <t>Useful Life (years)</t>
        </is>
      </c>
      <c r="C50" s="11" t="n">
        <v>7</v>
      </c>
    </row>
    <row r="51">
      <c r="B51" t="inlineStr">
        <is>
          <t>Days Sales Outstanding</t>
        </is>
      </c>
      <c r="C51" s="11" t="n">
        <v>52</v>
      </c>
    </row>
    <row r="52">
      <c r="B52" t="inlineStr">
        <is>
          <t>Days Payable Outstanding</t>
        </is>
      </c>
      <c r="C52" s="11" t="n">
        <v>38</v>
      </c>
    </row>
    <row r="53"/>
    <row r="54" ht="20" customHeight="1">
      <c r="B54" s="3" t="inlineStr">
        <is>
          <t>Opening Balances (placeholders)</t>
        </is>
      </c>
      <c r="C54" s="10" t="n"/>
      <c r="D54" s="10" t="n"/>
      <c r="E54" s="10" t="n"/>
      <c r="F54" s="10" t="n"/>
      <c r="G54" s="10" t="n"/>
      <c r="H54" s="10" t="n"/>
      <c r="I54" s="10" t="n"/>
      <c r="J54" s="10" t="n"/>
      <c r="K54" s="10" t="n"/>
      <c r="L54" s="10" t="n"/>
      <c r="M54" s="10" t="n"/>
    </row>
    <row r="55" ht="6" customHeight="1"/>
    <row r="56">
      <c r="B56" t="inlineStr">
        <is>
          <t>Opening Cash (2026-Q2)</t>
        </is>
      </c>
      <c r="C56" s="11" t="n">
        <v>2250000</v>
      </c>
    </row>
    <row r="57">
      <c r="B57" t="inlineStr">
        <is>
          <t>Opening Accounts Receivable</t>
        </is>
      </c>
      <c r="C57" s="11" t="n">
        <v>3780000</v>
      </c>
    </row>
    <row r="58">
      <c r="B58" t="inlineStr">
        <is>
          <t>Opening Accounts Payable</t>
        </is>
      </c>
      <c r="C58" s="11" t="n">
        <v>2000000</v>
      </c>
    </row>
    <row r="59">
      <c r="B59" t="inlineStr">
        <is>
          <t>Opening Net PP&amp;E</t>
        </is>
      </c>
      <c r="C59" s="11" t="n">
        <v>480000</v>
      </c>
    </row>
    <row r="60">
      <c r="B60" t="inlineStr">
        <is>
          <t>Opening Equity</t>
        </is>
      </c>
      <c r="C60" s="11" t="n">
        <v>4510000</v>
      </c>
    </row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V40"/>
  <sheetViews>
    <sheetView showGridLines="0" workbookViewId="0">
      <pane xSplit="2" ySplit="10" topLeftCell="C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  <col width="12" customWidth="1" min="46" max="46"/>
    <col width="12" customWidth="1" min="47" max="47"/>
    <col width="12" customWidth="1" min="48" max="48"/>
    <col width="12" customWidth="1" min="49" max="49"/>
    <col width="12" customWidth="1" min="50" max="50"/>
    <col width="12" customWidth="1" min="51" max="51"/>
    <col width="12" customWidth="1" min="52" max="52"/>
    <col width="12" customWidth="1" min="53" max="53"/>
    <col width="12" customWidth="1" min="54" max="54"/>
    <col width="12" customWidth="1" min="55" max="55"/>
    <col width="12" customWidth="1" min="56" max="56"/>
    <col width="12" customWidth="1" min="57" max="57"/>
    <col width="12" customWidth="1" min="58" max="58"/>
    <col width="12" customWidth="1" min="59" max="59"/>
    <col width="12" customWidth="1" min="60" max="60"/>
    <col width="12" customWidth="1" min="61" max="61"/>
    <col width="12" customWidth="1" min="62" max="62"/>
    <col width="12" customWidth="1" min="63" max="63"/>
    <col width="12" customWidth="1" min="64" max="64"/>
    <col width="12" customWidth="1" min="65" max="65"/>
    <col width="12" customWidth="1" min="66" max="66"/>
    <col width="12" customWidth="1" min="67" max="67"/>
    <col width="12" customWidth="1" min="68" max="68"/>
    <col width="12" customWidth="1" min="69" max="69"/>
    <col width="12" customWidth="1" min="70" max="70"/>
    <col width="12" customWidth="1" min="71" max="71"/>
    <col width="12" customWidth="1" min="72" max="72"/>
    <col width="12" customWidth="1" min="73" max="73"/>
    <col width="12" customWidth="1" min="74" max="74"/>
  </cols>
  <sheetData>
    <row r="1" ht="6" customHeight="1"/>
    <row r="2">
      <c r="B2" s="1" t="inlineStr">
        <is>
          <t>Sales Pipeline</t>
        </is>
      </c>
    </row>
    <row r="3">
      <c r="B3" s="4" t="inlineStr">
        <is>
          <t>Link to Cover</t>
        </is>
      </c>
    </row>
    <row r="4">
      <c r="A4" s="7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>
      <c r="J6" s="13" t="n"/>
      <c r="K6" s="14" t="inlineStr">
        <is>
          <t>Q1 '21</t>
        </is>
      </c>
      <c r="L6" s="14" t="inlineStr">
        <is>
          <t>Q2 '21</t>
        </is>
      </c>
      <c r="M6" s="14" t="inlineStr">
        <is>
          <t>Q3 '21</t>
        </is>
      </c>
      <c r="N6" s="14" t="inlineStr">
        <is>
          <t>Q4 '21</t>
        </is>
      </c>
      <c r="O6" s="14" t="inlineStr">
        <is>
          <t>Q1 '22</t>
        </is>
      </c>
      <c r="P6" s="14" t="inlineStr">
        <is>
          <t>Q2 '22</t>
        </is>
      </c>
      <c r="Q6" s="14" t="inlineStr">
        <is>
          <t>Q3 '22</t>
        </is>
      </c>
      <c r="R6" s="14" t="inlineStr">
        <is>
          <t>Q4 '22</t>
        </is>
      </c>
      <c r="S6" s="14" t="inlineStr">
        <is>
          <t>Q1 '23</t>
        </is>
      </c>
      <c r="T6" s="14" t="inlineStr">
        <is>
          <t>Q2 '23</t>
        </is>
      </c>
      <c r="U6" s="14" t="inlineStr">
        <is>
          <t>Q3 '23</t>
        </is>
      </c>
      <c r="V6" s="14" t="inlineStr">
        <is>
          <t>Q4 '23</t>
        </is>
      </c>
      <c r="W6" s="14" t="inlineStr">
        <is>
          <t>Q1 '24</t>
        </is>
      </c>
      <c r="X6" s="14" t="inlineStr">
        <is>
          <t>Q2 '24</t>
        </is>
      </c>
      <c r="Y6" s="14" t="inlineStr">
        <is>
          <t>Q3 '24</t>
        </is>
      </c>
      <c r="Z6" s="14" t="inlineStr">
        <is>
          <t>Q4 '24</t>
        </is>
      </c>
      <c r="AA6" s="14" t="inlineStr">
        <is>
          <t>Q1 '25</t>
        </is>
      </c>
      <c r="AB6" s="14" t="inlineStr">
        <is>
          <t>Q2 '25</t>
        </is>
      </c>
      <c r="AC6" s="14" t="inlineStr">
        <is>
          <t>Q3 '25</t>
        </is>
      </c>
      <c r="AD6" s="14" t="inlineStr">
        <is>
          <t>Q4 '25</t>
        </is>
      </c>
      <c r="AE6" s="14" t="inlineStr">
        <is>
          <t>Q1 '26</t>
        </is>
      </c>
      <c r="AF6" s="14" t="inlineStr">
        <is>
          <t>Q2 '26</t>
        </is>
      </c>
      <c r="AG6" s="14" t="inlineStr">
        <is>
          <t>Q3 '26</t>
        </is>
      </c>
      <c r="AH6" s="14" t="inlineStr">
        <is>
          <t>Q4 '26</t>
        </is>
      </c>
      <c r="AI6" s="14" t="inlineStr">
        <is>
          <t>Q1 '27</t>
        </is>
      </c>
      <c r="AJ6" s="14" t="inlineStr">
        <is>
          <t>Q2 '27</t>
        </is>
      </c>
      <c r="AK6" s="14" t="inlineStr">
        <is>
          <t>Q3 '27</t>
        </is>
      </c>
      <c r="AL6" s="14" t="inlineStr">
        <is>
          <t>Q4 '27</t>
        </is>
      </c>
      <c r="AM6" s="14" t="inlineStr">
        <is>
          <t>Q1 '28</t>
        </is>
      </c>
      <c r="AN6" s="14" t="inlineStr">
        <is>
          <t>Q2 '28</t>
        </is>
      </c>
      <c r="AO6" s="14" t="inlineStr">
        <is>
          <t>Q3 '28</t>
        </is>
      </c>
      <c r="AP6" s="14" t="inlineStr">
        <is>
          <t>Q4 '28</t>
        </is>
      </c>
      <c r="AQ6" s="14" t="inlineStr">
        <is>
          <t>Q1 '21</t>
        </is>
      </c>
      <c r="AR6" s="14" t="inlineStr">
        <is>
          <t>Q2 '21</t>
        </is>
      </c>
      <c r="AS6" s="14" t="inlineStr">
        <is>
          <t>Q3 '21</t>
        </is>
      </c>
      <c r="AT6" s="14" t="inlineStr">
        <is>
          <t>Q4 '21</t>
        </is>
      </c>
      <c r="AU6" s="14" t="inlineStr">
        <is>
          <t>Q1 '22</t>
        </is>
      </c>
      <c r="AV6" s="14" t="inlineStr">
        <is>
          <t>Q2 '22</t>
        </is>
      </c>
      <c r="AW6" s="14" t="inlineStr">
        <is>
          <t>Q3 '22</t>
        </is>
      </c>
      <c r="AX6" s="14" t="inlineStr">
        <is>
          <t>Q4 '22</t>
        </is>
      </c>
      <c r="AY6" s="14" t="inlineStr">
        <is>
          <t>Q1 '23</t>
        </is>
      </c>
      <c r="AZ6" s="14" t="inlineStr">
        <is>
          <t>Q2 '23</t>
        </is>
      </c>
      <c r="BA6" s="14" t="inlineStr">
        <is>
          <t>Q3 '23</t>
        </is>
      </c>
      <c r="BB6" s="14" t="inlineStr">
        <is>
          <t>Q4 '23</t>
        </is>
      </c>
      <c r="BC6" s="14" t="inlineStr">
        <is>
          <t>Q1 '24</t>
        </is>
      </c>
      <c r="BD6" s="14" t="inlineStr">
        <is>
          <t>Q2 '24</t>
        </is>
      </c>
      <c r="BE6" s="14" t="inlineStr">
        <is>
          <t>Q3 '24</t>
        </is>
      </c>
      <c r="BF6" s="14" t="inlineStr">
        <is>
          <t>Q4 '24</t>
        </is>
      </c>
      <c r="BG6" s="14" t="inlineStr">
        <is>
          <t>Q1 '25</t>
        </is>
      </c>
      <c r="BH6" s="14" t="inlineStr">
        <is>
          <t>Q2 '25</t>
        </is>
      </c>
      <c r="BI6" s="14" t="inlineStr">
        <is>
          <t>Q3 '25</t>
        </is>
      </c>
      <c r="BJ6" s="14" t="inlineStr">
        <is>
          <t>Q4 '25</t>
        </is>
      </c>
      <c r="BK6" s="14" t="inlineStr">
        <is>
          <t>Q1 '26</t>
        </is>
      </c>
      <c r="BL6" s="14" t="inlineStr">
        <is>
          <t>Q2 '26</t>
        </is>
      </c>
      <c r="BM6" s="14" t="inlineStr">
        <is>
          <t>Q3 '26</t>
        </is>
      </c>
      <c r="BN6" s="14" t="inlineStr">
        <is>
          <t>Q4 '26</t>
        </is>
      </c>
      <c r="BO6" s="14" t="inlineStr">
        <is>
          <t>Q1 '27</t>
        </is>
      </c>
      <c r="BP6" s="14" t="inlineStr">
        <is>
          <t>Q2 '27</t>
        </is>
      </c>
      <c r="BQ6" s="14" t="inlineStr">
        <is>
          <t>Q3 '27</t>
        </is>
      </c>
      <c r="BR6" s="14" t="inlineStr">
        <is>
          <t>Q4 '27</t>
        </is>
      </c>
      <c r="BS6" s="14" t="inlineStr">
        <is>
          <t>Q1 '28</t>
        </is>
      </c>
      <c r="BT6" s="14" t="inlineStr">
        <is>
          <t>Q2 '28</t>
        </is>
      </c>
      <c r="BU6" s="14" t="inlineStr">
        <is>
          <t>Q3 '28</t>
        </is>
      </c>
      <c r="BV6" s="14" t="inlineStr">
        <is>
          <t>Q4 '28</t>
        </is>
      </c>
    </row>
    <row r="7">
      <c r="B7" s="15" t="inlineStr">
        <is>
          <t>Pipeline Expected Revenue</t>
        </is>
      </c>
      <c r="J7" s="13" t="n"/>
      <c r="K7" s="16">
        <f>SUM(K$11:K$40)</f>
        <v/>
      </c>
      <c r="L7" s="16">
        <f>SUM(L$11:L$40)</f>
        <v/>
      </c>
      <c r="M7" s="16">
        <f>SUM(M$11:M$40)</f>
        <v/>
      </c>
      <c r="N7" s="16">
        <f>SUM(N$11:N$40)</f>
        <v/>
      </c>
      <c r="O7" s="16">
        <f>SUM(O$11:O$40)</f>
        <v/>
      </c>
      <c r="P7" s="16">
        <f>SUM(P$11:P$40)</f>
        <v/>
      </c>
      <c r="Q7" s="16">
        <f>SUM(Q$11:Q$40)</f>
        <v/>
      </c>
      <c r="R7" s="16">
        <f>SUM(R$11:R$40)</f>
        <v/>
      </c>
      <c r="S7" s="16">
        <f>SUM(S$11:S$40)</f>
        <v/>
      </c>
      <c r="T7" s="16">
        <f>SUM(T$11:T$40)</f>
        <v/>
      </c>
      <c r="U7" s="16">
        <f>SUM(U$11:U$40)</f>
        <v/>
      </c>
      <c r="V7" s="16">
        <f>SUM(V$11:V$40)</f>
        <v/>
      </c>
      <c r="W7" s="16">
        <f>SUM(W$11:W$40)</f>
        <v/>
      </c>
      <c r="X7" s="16">
        <f>SUM(X$11:X$40)</f>
        <v/>
      </c>
      <c r="Y7" s="16">
        <f>SUM(Y$11:Y$40)</f>
        <v/>
      </c>
      <c r="Z7" s="16">
        <f>SUM(Z$11:Z$40)</f>
        <v/>
      </c>
      <c r="AA7" s="16">
        <f>SUM(AA$11:AA$40)</f>
        <v/>
      </c>
      <c r="AB7" s="16">
        <f>SUM(AB$11:AB$40)</f>
        <v/>
      </c>
      <c r="AC7" s="16">
        <f>SUM(AC$11:AC$40)</f>
        <v/>
      </c>
      <c r="AD7" s="16">
        <f>SUM(AD$11:AD$40)</f>
        <v/>
      </c>
      <c r="AE7" s="16">
        <f>SUM(AE$11:AE$40)</f>
        <v/>
      </c>
      <c r="AF7" s="16">
        <f>SUM(AF$11:AF$40)</f>
        <v/>
      </c>
      <c r="AG7" s="16">
        <f>SUM(AG$11:AG$40)</f>
        <v/>
      </c>
      <c r="AH7" s="16">
        <f>SUM(AH$11:AH$40)</f>
        <v/>
      </c>
      <c r="AI7" s="16">
        <f>SUM(AI$11:AI$40)</f>
        <v/>
      </c>
      <c r="AJ7" s="16">
        <f>SUM(AJ$11:AJ$40)</f>
        <v/>
      </c>
      <c r="AK7" s="16">
        <f>SUM(AK$11:AK$40)</f>
        <v/>
      </c>
      <c r="AL7" s="16">
        <f>SUM(AL$11:AL$40)</f>
        <v/>
      </c>
      <c r="AM7" s="16">
        <f>SUM(AM$11:AM$40)</f>
        <v/>
      </c>
      <c r="AN7" s="16">
        <f>SUM(AN$11:AN$40)</f>
        <v/>
      </c>
      <c r="AO7" s="16">
        <f>SUM(AO$11:AO$40)</f>
        <v/>
      </c>
      <c r="AP7" s="16">
        <f>SUM(AP$11:AP$40)</f>
        <v/>
      </c>
    </row>
    <row r="8">
      <c r="B8" s="15" t="inlineStr">
        <is>
          <t>Pipeline Expected Bookings</t>
        </is>
      </c>
      <c r="J8" s="13" t="n"/>
      <c r="AQ8" s="16">
        <f>SUM(AQ$11:AQ$40)</f>
        <v/>
      </c>
      <c r="AR8" s="16">
        <f>SUM(AR$11:AR$40)</f>
        <v/>
      </c>
      <c r="AS8" s="16">
        <f>SUM(AS$11:AS$40)</f>
        <v/>
      </c>
      <c r="AT8" s="16">
        <f>SUM(AT$11:AT$40)</f>
        <v/>
      </c>
      <c r="AU8" s="16">
        <f>SUM(AU$11:AU$40)</f>
        <v/>
      </c>
      <c r="AV8" s="16">
        <f>SUM(AV$11:AV$40)</f>
        <v/>
      </c>
      <c r="AW8" s="16">
        <f>SUM(AW$11:AW$40)</f>
        <v/>
      </c>
      <c r="AX8" s="16">
        <f>SUM(AX$11:AX$40)</f>
        <v/>
      </c>
      <c r="AY8" s="16">
        <f>SUM(AY$11:AY$40)</f>
        <v/>
      </c>
      <c r="AZ8" s="16">
        <f>SUM(AZ$11:AZ$40)</f>
        <v/>
      </c>
      <c r="BA8" s="16">
        <f>SUM(BA$11:BA$40)</f>
        <v/>
      </c>
      <c r="BB8" s="16">
        <f>SUM(BB$11:BB$40)</f>
        <v/>
      </c>
      <c r="BC8" s="16">
        <f>SUM(BC$11:BC$40)</f>
        <v/>
      </c>
      <c r="BD8" s="16">
        <f>SUM(BD$11:BD$40)</f>
        <v/>
      </c>
      <c r="BE8" s="16">
        <f>SUM(BE$11:BE$40)</f>
        <v/>
      </c>
      <c r="BF8" s="16">
        <f>SUM(BF$11:BF$40)</f>
        <v/>
      </c>
      <c r="BG8" s="16">
        <f>SUM(BG$11:BG$40)</f>
        <v/>
      </c>
      <c r="BH8" s="16">
        <f>SUM(BH$11:BH$40)</f>
        <v/>
      </c>
      <c r="BI8" s="16">
        <f>SUM(BI$11:BI$40)</f>
        <v/>
      </c>
      <c r="BJ8" s="16">
        <f>SUM(BJ$11:BJ$40)</f>
        <v/>
      </c>
      <c r="BK8" s="16">
        <f>SUM(BK$11:BK$40)</f>
        <v/>
      </c>
      <c r="BL8" s="16">
        <f>SUM(BL$11:BL$40)</f>
        <v/>
      </c>
      <c r="BM8" s="16">
        <f>SUM(BM$11:BM$40)</f>
        <v/>
      </c>
      <c r="BN8" s="16">
        <f>SUM(BN$11:BN$40)</f>
        <v/>
      </c>
      <c r="BO8" s="16">
        <f>SUM(BO$11:BO$40)</f>
        <v/>
      </c>
      <c r="BP8" s="16">
        <f>SUM(BP$11:BP$40)</f>
        <v/>
      </c>
      <c r="BQ8" s="16">
        <f>SUM(BQ$11:BQ$40)</f>
        <v/>
      </c>
      <c r="BR8" s="16">
        <f>SUM(BR$11:BR$40)</f>
        <v/>
      </c>
      <c r="BS8" s="16">
        <f>SUM(BS$11:BS$40)</f>
        <v/>
      </c>
      <c r="BT8" s="16">
        <f>SUM(BT$11:BT$40)</f>
        <v/>
      </c>
      <c r="BU8" s="16">
        <f>SUM(BU$11:BU$40)</f>
        <v/>
      </c>
      <c r="BV8" s="16">
        <f>SUM(BV$11:BV$40)</f>
        <v/>
      </c>
    </row>
    <row r="9">
      <c r="B9" s="15" t="inlineStr">
        <is>
          <t>Pipeline Active Projects</t>
        </is>
      </c>
      <c r="J9" s="13" t="n"/>
      <c r="K9" s="16">
        <f>COUNTIF(K$11:K$40,"&gt;0")</f>
        <v/>
      </c>
      <c r="L9" s="16">
        <f>COUNTIF(L$11:L$40,"&gt;0")</f>
        <v/>
      </c>
      <c r="M9" s="16">
        <f>COUNTIF(M$11:M$40,"&gt;0")</f>
        <v/>
      </c>
      <c r="N9" s="16">
        <f>COUNTIF(N$11:N$40,"&gt;0")</f>
        <v/>
      </c>
      <c r="O9" s="16">
        <f>COUNTIF(O$11:O$40,"&gt;0")</f>
        <v/>
      </c>
      <c r="P9" s="16">
        <f>COUNTIF(P$11:P$40,"&gt;0")</f>
        <v/>
      </c>
      <c r="Q9" s="16">
        <f>COUNTIF(Q$11:Q$40,"&gt;0")</f>
        <v/>
      </c>
      <c r="R9" s="16">
        <f>COUNTIF(R$11:R$40,"&gt;0")</f>
        <v/>
      </c>
      <c r="S9" s="16">
        <f>COUNTIF(S$11:S$40,"&gt;0")</f>
        <v/>
      </c>
      <c r="T9" s="16">
        <f>COUNTIF(T$11:T$40,"&gt;0")</f>
        <v/>
      </c>
      <c r="U9" s="16">
        <f>COUNTIF(U$11:U$40,"&gt;0")</f>
        <v/>
      </c>
      <c r="V9" s="16">
        <f>COUNTIF(V$11:V$40,"&gt;0")</f>
        <v/>
      </c>
      <c r="W9" s="16">
        <f>COUNTIF(W$11:W$40,"&gt;0")</f>
        <v/>
      </c>
      <c r="X9" s="16">
        <f>COUNTIF(X$11:X$40,"&gt;0")</f>
        <v/>
      </c>
      <c r="Y9" s="16">
        <f>COUNTIF(Y$11:Y$40,"&gt;0")</f>
        <v/>
      </c>
      <c r="Z9" s="16">
        <f>COUNTIF(Z$11:Z$40,"&gt;0")</f>
        <v/>
      </c>
      <c r="AA9" s="16">
        <f>COUNTIF(AA$11:AA$40,"&gt;0")</f>
        <v/>
      </c>
      <c r="AB9" s="16">
        <f>COUNTIF(AB$11:AB$40,"&gt;0")</f>
        <v/>
      </c>
      <c r="AC9" s="16">
        <f>COUNTIF(AC$11:AC$40,"&gt;0")</f>
        <v/>
      </c>
      <c r="AD9" s="16">
        <f>COUNTIF(AD$11:AD$40,"&gt;0")</f>
        <v/>
      </c>
      <c r="AE9" s="16">
        <f>COUNTIF(AE$11:AE$40,"&gt;0")</f>
        <v/>
      </c>
      <c r="AF9" s="16">
        <f>COUNTIF(AF$11:AF$40,"&gt;0")</f>
        <v/>
      </c>
      <c r="AG9" s="16">
        <f>COUNTIF(AG$11:AG$40,"&gt;0")</f>
        <v/>
      </c>
      <c r="AH9" s="16">
        <f>COUNTIF(AH$11:AH$40,"&gt;0")</f>
        <v/>
      </c>
      <c r="AI9" s="16">
        <f>COUNTIF(AI$11:AI$40,"&gt;0")</f>
        <v/>
      </c>
      <c r="AJ9" s="16">
        <f>COUNTIF(AJ$11:AJ$40,"&gt;0")</f>
        <v/>
      </c>
      <c r="AK9" s="16">
        <f>COUNTIF(AK$11:AK$40,"&gt;0")</f>
        <v/>
      </c>
      <c r="AL9" s="16">
        <f>COUNTIF(AL$11:AL$40,"&gt;0")</f>
        <v/>
      </c>
      <c r="AM9" s="16">
        <f>COUNTIF(AM$11:AM$40,"&gt;0")</f>
        <v/>
      </c>
      <c r="AN9" s="16">
        <f>COUNTIF(AN$11:AN$40,"&gt;0")</f>
        <v/>
      </c>
      <c r="AO9" s="16">
        <f>COUNTIF(AO$11:AO$40,"&gt;0")</f>
        <v/>
      </c>
      <c r="AP9" s="16">
        <f>COUNTIF(AP$11:AP$40,"&gt;0")</f>
        <v/>
      </c>
    </row>
    <row r="10">
      <c r="B10" s="15" t="inlineStr">
        <is>
          <t>Company / Project</t>
        </is>
      </c>
      <c r="C10" s="14" t="inlineStr">
        <is>
          <t>Monthly Revenue</t>
        </is>
      </c>
      <c r="D10" s="14" t="inlineStr">
        <is>
          <t>Month Signed</t>
        </is>
      </c>
      <c r="E10" s="14" t="inlineStr">
        <is>
          <t>Length (months)</t>
        </is>
      </c>
      <c r="F10" s="14" t="inlineStr">
        <is>
          <t>Likelihood</t>
        </is>
      </c>
      <c r="G10" s="14" t="inlineStr">
        <is>
          <t>Revenue Start</t>
        </is>
      </c>
      <c r="H10" s="14" t="inlineStr">
        <is>
          <t>Revenue End</t>
        </is>
      </c>
      <c r="I10" s="14" t="inlineStr">
        <is>
          <t>Contract Value</t>
        </is>
      </c>
      <c r="J10" s="17" t="inlineStr">
        <is>
          <t>Expected Value</t>
        </is>
      </c>
    </row>
    <row r="11">
      <c r="B11" t="inlineStr">
        <is>
          <t>Northfield &gt; Lumen Aerospace &gt; On Contract</t>
        </is>
      </c>
      <c r="C11" s="16" t="n">
        <v>520000</v>
      </c>
      <c r="D11" s="18" t="n">
        <v>46054</v>
      </c>
      <c r="E11" s="16" t="n">
        <v>16</v>
      </c>
      <c r="F11" s="19" t="n">
        <v>1</v>
      </c>
      <c r="G11" s="18" t="n">
        <v>46082</v>
      </c>
      <c r="H11" s="18" t="n">
        <v>46539</v>
      </c>
      <c r="I11" s="16">
        <f>$C$11 * $E$11</f>
        <v/>
      </c>
      <c r="J11" s="20">
        <f>$C$11 * $E$11 * $F$11</f>
        <v/>
      </c>
      <c r="K11" s="16">
        <f>IF(($G$11&lt;=DATE(2021,3,31))*($H$11&gt;=DATE(2021,1,1)),$C$11 * $F$11 * MAX(0, MIN((YEAR($H$11)*12+MONTH($H$11)), (YEAR(DATE(2021,3,31))*12+MONTH(DATE(2021,3,31)))) - MAX((YEAR($G$11)*12+MONTH($G$11)), (YEAR(DATE(2021,1,1))*12+MONTH(DATE(2021,1,1)))) + 1),0)</f>
        <v/>
      </c>
      <c r="L11" s="16">
        <f>IF(($G$11&lt;=DATE(2021,6,30))*($H$11&gt;=DATE(2021,4,1)),$C$11 * $F$11 * MAX(0, MIN((YEAR($H$11)*12+MONTH($H$11)), (YEAR(DATE(2021,6,30))*12+MONTH(DATE(2021,6,30)))) - MAX((YEAR($G$11)*12+MONTH($G$11)), (YEAR(DATE(2021,4,1))*12+MONTH(DATE(2021,4,1)))) + 1),0)</f>
        <v/>
      </c>
      <c r="M11" s="16">
        <f>IF(($G$11&lt;=DATE(2021,9,30))*($H$11&gt;=DATE(2021,7,1)),$C$11 * $F$11 * MAX(0, MIN((YEAR($H$11)*12+MONTH($H$11)), (YEAR(DATE(2021,9,30))*12+MONTH(DATE(2021,9,30)))) - MAX((YEAR($G$11)*12+MONTH($G$11)), (YEAR(DATE(2021,7,1))*12+MONTH(DATE(2021,7,1)))) + 1),0)</f>
        <v/>
      </c>
      <c r="N11" s="16">
        <f>IF(($G$11&lt;=DATE(2021,12,31))*($H$11&gt;=DATE(2021,10,1)),$C$11 * $F$11 * MAX(0, MIN((YEAR($H$11)*12+MONTH($H$11)), (YEAR(DATE(2021,12,31))*12+MONTH(DATE(2021,12,31)))) - MAX((YEAR($G$11)*12+MONTH($G$11)), (YEAR(DATE(2021,10,1))*12+MONTH(DATE(2021,10,1)))) + 1),0)</f>
        <v/>
      </c>
      <c r="O11" s="16">
        <f>IF(($G$11&lt;=DATE(2022,3,31))*($H$11&gt;=DATE(2022,1,1)),$C$11 * $F$11 * MAX(0, MIN((YEAR($H$11)*12+MONTH($H$11)), (YEAR(DATE(2022,3,31))*12+MONTH(DATE(2022,3,31)))) - MAX((YEAR($G$11)*12+MONTH($G$11)), (YEAR(DATE(2022,1,1))*12+MONTH(DATE(2022,1,1)))) + 1),0)</f>
        <v/>
      </c>
      <c r="P11" s="16">
        <f>IF(($G$11&lt;=DATE(2022,6,30))*($H$11&gt;=DATE(2022,4,1)),$C$11 * $F$11 * MAX(0, MIN((YEAR($H$11)*12+MONTH($H$11)), (YEAR(DATE(2022,6,30))*12+MONTH(DATE(2022,6,30)))) - MAX((YEAR($G$11)*12+MONTH($G$11)), (YEAR(DATE(2022,4,1))*12+MONTH(DATE(2022,4,1)))) + 1),0)</f>
        <v/>
      </c>
      <c r="Q11" s="16">
        <f>IF(($G$11&lt;=DATE(2022,9,30))*($H$11&gt;=DATE(2022,7,1)),$C$11 * $F$11 * MAX(0, MIN((YEAR($H$11)*12+MONTH($H$11)), (YEAR(DATE(2022,9,30))*12+MONTH(DATE(2022,9,30)))) - MAX((YEAR($G$11)*12+MONTH($G$11)), (YEAR(DATE(2022,7,1))*12+MONTH(DATE(2022,7,1)))) + 1),0)</f>
        <v/>
      </c>
      <c r="R11" s="16">
        <f>IF(($G$11&lt;=DATE(2022,12,31))*($H$11&gt;=DATE(2022,10,1)),$C$11 * $F$11 * MAX(0, MIN((YEAR($H$11)*12+MONTH($H$11)), (YEAR(DATE(2022,12,31))*12+MONTH(DATE(2022,12,31)))) - MAX((YEAR($G$11)*12+MONTH($G$11)), (YEAR(DATE(2022,10,1))*12+MONTH(DATE(2022,10,1)))) + 1),0)</f>
        <v/>
      </c>
      <c r="S11" s="16">
        <f>IF(($G$11&lt;=DATE(2023,3,31))*($H$11&gt;=DATE(2023,1,1)),$C$11 * $F$11 * MAX(0, MIN((YEAR($H$11)*12+MONTH($H$11)), (YEAR(DATE(2023,3,31))*12+MONTH(DATE(2023,3,31)))) - MAX((YEAR($G$11)*12+MONTH($G$11)), (YEAR(DATE(2023,1,1))*12+MONTH(DATE(2023,1,1)))) + 1),0)</f>
        <v/>
      </c>
      <c r="T11" s="16">
        <f>IF(($G$11&lt;=DATE(2023,6,30))*($H$11&gt;=DATE(2023,4,1)),$C$11 * $F$11 * MAX(0, MIN((YEAR($H$11)*12+MONTH($H$11)), (YEAR(DATE(2023,6,30))*12+MONTH(DATE(2023,6,30)))) - MAX((YEAR($G$11)*12+MONTH($G$11)), (YEAR(DATE(2023,4,1))*12+MONTH(DATE(2023,4,1)))) + 1),0)</f>
        <v/>
      </c>
      <c r="U11" s="16">
        <f>IF(($G$11&lt;=DATE(2023,9,30))*($H$11&gt;=DATE(2023,7,1)),$C$11 * $F$11 * MAX(0, MIN((YEAR($H$11)*12+MONTH($H$11)), (YEAR(DATE(2023,9,30))*12+MONTH(DATE(2023,9,30)))) - MAX((YEAR($G$11)*12+MONTH($G$11)), (YEAR(DATE(2023,7,1))*12+MONTH(DATE(2023,7,1)))) + 1),0)</f>
        <v/>
      </c>
      <c r="V11" s="16">
        <f>IF(($G$11&lt;=DATE(2023,12,31))*($H$11&gt;=DATE(2023,10,1)),$C$11 * $F$11 * MAX(0, MIN((YEAR($H$11)*12+MONTH($H$11)), (YEAR(DATE(2023,12,31))*12+MONTH(DATE(2023,12,31)))) - MAX((YEAR($G$11)*12+MONTH($G$11)), (YEAR(DATE(2023,10,1))*12+MONTH(DATE(2023,10,1)))) + 1),0)</f>
        <v/>
      </c>
      <c r="W11" s="16">
        <f>IF(($G$11&lt;=DATE(2024,3,31))*($H$11&gt;=DATE(2024,1,1)),$C$11 * $F$11 * MAX(0, MIN((YEAR($H$11)*12+MONTH($H$11)), (YEAR(DATE(2024,3,31))*12+MONTH(DATE(2024,3,31)))) - MAX((YEAR($G$11)*12+MONTH($G$11)), (YEAR(DATE(2024,1,1))*12+MONTH(DATE(2024,1,1)))) + 1),0)</f>
        <v/>
      </c>
      <c r="X11" s="16">
        <f>IF(($G$11&lt;=DATE(2024,6,30))*($H$11&gt;=DATE(2024,4,1)),$C$11 * $F$11 * MAX(0, MIN((YEAR($H$11)*12+MONTH($H$11)), (YEAR(DATE(2024,6,30))*12+MONTH(DATE(2024,6,30)))) - MAX((YEAR($G$11)*12+MONTH($G$11)), (YEAR(DATE(2024,4,1))*12+MONTH(DATE(2024,4,1)))) + 1),0)</f>
        <v/>
      </c>
      <c r="Y11" s="16">
        <f>IF(($G$11&lt;=DATE(2024,9,30))*($H$11&gt;=DATE(2024,7,1)),$C$11 * $F$11 * MAX(0, MIN((YEAR($H$11)*12+MONTH($H$11)), (YEAR(DATE(2024,9,30))*12+MONTH(DATE(2024,9,30)))) - MAX((YEAR($G$11)*12+MONTH($G$11)), (YEAR(DATE(2024,7,1))*12+MONTH(DATE(2024,7,1)))) + 1),0)</f>
        <v/>
      </c>
      <c r="Z11" s="16">
        <f>IF(($G$11&lt;=DATE(2024,12,31))*($H$11&gt;=DATE(2024,10,1)),$C$11 * $F$11 * MAX(0, MIN((YEAR($H$11)*12+MONTH($H$11)), (YEAR(DATE(2024,12,31))*12+MONTH(DATE(2024,12,31)))) - MAX((YEAR($G$11)*12+MONTH($G$11)), (YEAR(DATE(2024,10,1))*12+MONTH(DATE(2024,10,1)))) + 1),0)</f>
        <v/>
      </c>
      <c r="AA11" s="16">
        <f>IF(($G$11&lt;=DATE(2025,3,31))*($H$11&gt;=DATE(2025,1,1)),$C$11 * $F$11 * MAX(0, MIN((YEAR($H$11)*12+MONTH($H$11)), (YEAR(DATE(2025,3,31))*12+MONTH(DATE(2025,3,31)))) - MAX((YEAR($G$11)*12+MONTH($G$11)), (YEAR(DATE(2025,1,1))*12+MONTH(DATE(2025,1,1)))) + 1),0)</f>
        <v/>
      </c>
      <c r="AB11" s="16">
        <f>IF(($G$11&lt;=DATE(2025,6,30))*($H$11&gt;=DATE(2025,4,1)),$C$11 * $F$11 * MAX(0, MIN((YEAR($H$11)*12+MONTH($H$11)), (YEAR(DATE(2025,6,30))*12+MONTH(DATE(2025,6,30)))) - MAX((YEAR($G$11)*12+MONTH($G$11)), (YEAR(DATE(2025,4,1))*12+MONTH(DATE(2025,4,1)))) + 1),0)</f>
        <v/>
      </c>
      <c r="AC11" s="16">
        <f>IF(($G$11&lt;=DATE(2025,9,30))*($H$11&gt;=DATE(2025,7,1)),$C$11 * $F$11 * MAX(0, MIN((YEAR($H$11)*12+MONTH($H$11)), (YEAR(DATE(2025,9,30))*12+MONTH(DATE(2025,9,30)))) - MAX((YEAR($G$11)*12+MONTH($G$11)), (YEAR(DATE(2025,7,1))*12+MONTH(DATE(2025,7,1)))) + 1),0)</f>
        <v/>
      </c>
      <c r="AD11" s="16">
        <f>IF(($G$11&lt;=DATE(2025,12,31))*($H$11&gt;=DATE(2025,10,1)),$C$11 * $F$11 * MAX(0, MIN((YEAR($H$11)*12+MONTH($H$11)), (YEAR(DATE(2025,12,31))*12+MONTH(DATE(2025,12,31)))) - MAX((YEAR($G$11)*12+MONTH($G$11)), (YEAR(DATE(2025,10,1))*12+MONTH(DATE(2025,10,1)))) + 1),0)</f>
        <v/>
      </c>
      <c r="AE11" s="16">
        <f>IF(($G$11&lt;=DATE(2026,3,31))*($H$11&gt;=DATE(2026,1,1)),$C$11 * $F$11 * MAX(0, MIN((YEAR($H$11)*12+MONTH($H$11)), (YEAR(DATE(2026,3,31))*12+MONTH(DATE(2026,3,31)))) - MAX((YEAR($G$11)*12+MONTH($G$11)), (YEAR(DATE(2026,1,1))*12+MONTH(DATE(2026,1,1)))) + 1),0)</f>
        <v/>
      </c>
      <c r="AF11" s="16">
        <f>IF(($G$11&lt;=DATE(2026,6,30))*($H$11&gt;=DATE(2026,4,1)),$C$11 * $F$11 * MAX(0, MIN((YEAR($H$11)*12+MONTH($H$11)), (YEAR(DATE(2026,6,30))*12+MONTH(DATE(2026,6,30)))) - MAX((YEAR($G$11)*12+MONTH($G$11)), (YEAR(DATE(2026,4,1))*12+MONTH(DATE(2026,4,1)))) + 1),0)</f>
        <v/>
      </c>
      <c r="AG11" s="16">
        <f>IF(($G$11&lt;=DATE(2026,9,30))*($H$11&gt;=DATE(2026,7,1)),$C$11 * $F$11 * MAX(0, MIN((YEAR($H$11)*12+MONTH($H$11)), (YEAR(DATE(2026,9,30))*12+MONTH(DATE(2026,9,30)))) - MAX((YEAR($G$11)*12+MONTH($G$11)), (YEAR(DATE(2026,7,1))*12+MONTH(DATE(2026,7,1)))) + 1),0)</f>
        <v/>
      </c>
      <c r="AH11" s="16">
        <f>IF(($G$11&lt;=DATE(2026,12,31))*($H$11&gt;=DATE(2026,10,1)),$C$11 * $F$11 * MAX(0, MIN((YEAR($H$11)*12+MONTH($H$11)), (YEAR(DATE(2026,12,31))*12+MONTH(DATE(2026,12,31)))) - MAX((YEAR($G$11)*12+MONTH($G$11)), (YEAR(DATE(2026,10,1))*12+MONTH(DATE(2026,10,1)))) + 1),0)</f>
        <v/>
      </c>
      <c r="AI11" s="16">
        <f>IF(($G$11&lt;=DATE(2027,3,31))*($H$11&gt;=DATE(2027,1,1)),$C$11 * $F$11 * MAX(0, MIN((YEAR($H$11)*12+MONTH($H$11)), (YEAR(DATE(2027,3,31))*12+MONTH(DATE(2027,3,31)))) - MAX((YEAR($G$11)*12+MONTH($G$11)), (YEAR(DATE(2027,1,1))*12+MONTH(DATE(2027,1,1)))) + 1),0)</f>
        <v/>
      </c>
      <c r="AJ11" s="16">
        <f>IF(($G$11&lt;=DATE(2027,6,30))*($H$11&gt;=DATE(2027,4,1)),$C$11 * $F$11 * MAX(0, MIN((YEAR($H$11)*12+MONTH($H$11)), (YEAR(DATE(2027,6,30))*12+MONTH(DATE(2027,6,30)))) - MAX((YEAR($G$11)*12+MONTH($G$11)), (YEAR(DATE(2027,4,1))*12+MONTH(DATE(2027,4,1)))) + 1),0)</f>
        <v/>
      </c>
      <c r="AK11" s="16">
        <f>IF(($G$11&lt;=DATE(2027,9,30))*($H$11&gt;=DATE(2027,7,1)),$C$11 * $F$11 * MAX(0, MIN((YEAR($H$11)*12+MONTH($H$11)), (YEAR(DATE(2027,9,30))*12+MONTH(DATE(2027,9,30)))) - MAX((YEAR($G$11)*12+MONTH($G$11)), (YEAR(DATE(2027,7,1))*12+MONTH(DATE(2027,7,1)))) + 1),0)</f>
        <v/>
      </c>
      <c r="AL11" s="16">
        <f>IF(($G$11&lt;=DATE(2027,12,31))*($H$11&gt;=DATE(2027,10,1)),$C$11 * $F$11 * MAX(0, MIN((YEAR($H$11)*12+MONTH($H$11)), (YEAR(DATE(2027,12,31))*12+MONTH(DATE(2027,12,31)))) - MAX((YEAR($G$11)*12+MONTH($G$11)), (YEAR(DATE(2027,10,1))*12+MONTH(DATE(2027,10,1)))) + 1),0)</f>
        <v/>
      </c>
      <c r="AM11" s="16">
        <f>IF(($G$11&lt;=DATE(2028,3,31))*($H$11&gt;=DATE(2028,1,1)),$C$11 * $F$11 * MAX(0, MIN((YEAR($H$11)*12+MONTH($H$11)), (YEAR(DATE(2028,3,31))*12+MONTH(DATE(2028,3,31)))) - MAX((YEAR($G$11)*12+MONTH($G$11)), (YEAR(DATE(2028,1,1))*12+MONTH(DATE(2028,1,1)))) + 1),0)</f>
        <v/>
      </c>
      <c r="AN11" s="16">
        <f>IF(($G$11&lt;=DATE(2028,6,30))*($H$11&gt;=DATE(2028,4,1)),$C$11 * $F$11 * MAX(0, MIN((YEAR($H$11)*12+MONTH($H$11)), (YEAR(DATE(2028,6,30))*12+MONTH(DATE(2028,6,30)))) - MAX((YEAR($G$11)*12+MONTH($G$11)), (YEAR(DATE(2028,4,1))*12+MONTH(DATE(2028,4,1)))) + 1),0)</f>
        <v/>
      </c>
      <c r="AO11" s="16">
        <f>IF(($G$11&lt;=DATE(2028,9,30))*($H$11&gt;=DATE(2028,7,1)),$C$11 * $F$11 * MAX(0, MIN((YEAR($H$11)*12+MONTH($H$11)), (YEAR(DATE(2028,9,30))*12+MONTH(DATE(2028,9,30)))) - MAX((YEAR($G$11)*12+MONTH($G$11)), (YEAR(DATE(2028,7,1))*12+MONTH(DATE(2028,7,1)))) + 1),0)</f>
        <v/>
      </c>
      <c r="AP11" s="16">
        <f>IF(($G$11&lt;=DATE(2028,12,31))*($H$11&gt;=DATE(2028,10,1)),$C$11 * $F$11 * MAX(0, MIN((YEAR($H$11)*12+MONTH($H$11)), (YEAR(DATE(2028,12,31))*12+MONTH(DATE(2028,12,31)))) - MAX((YEAR($G$11)*12+MONTH($G$11)), (YEAR(DATE(2028,10,1))*12+MONTH(DATE(2028,10,1)))) + 1),0)</f>
        <v/>
      </c>
      <c r="AQ11" s="16">
        <f>IF(AND($D$11 &gt;= DATE(2021,1,1), $D$11 &lt;= DATE(2021,3,31)), $C$11 * $E$11 * $F$11, 0)</f>
        <v/>
      </c>
      <c r="AR11" s="16">
        <f>IF(AND($D$11 &gt;= DATE(2021,4,1), $D$11 &lt;= DATE(2021,6,30)), $C$11 * $E$11 * $F$11, 0)</f>
        <v/>
      </c>
      <c r="AS11" s="16">
        <f>IF(AND($D$11 &gt;= DATE(2021,7,1), $D$11 &lt;= DATE(2021,9,30)), $C$11 * $E$11 * $F$11, 0)</f>
        <v/>
      </c>
      <c r="AT11" s="16">
        <f>IF(AND($D$11 &gt;= DATE(2021,10,1), $D$11 &lt;= DATE(2021,12,31)), $C$11 * $E$11 * $F$11, 0)</f>
        <v/>
      </c>
      <c r="AU11" s="16">
        <f>IF(AND($D$11 &gt;= DATE(2022,1,1), $D$11 &lt;= DATE(2022,3,31)), $C$11 * $E$11 * $F$11, 0)</f>
        <v/>
      </c>
      <c r="AV11" s="16">
        <f>IF(AND($D$11 &gt;= DATE(2022,4,1), $D$11 &lt;= DATE(2022,6,30)), $C$11 * $E$11 * $F$11, 0)</f>
        <v/>
      </c>
      <c r="AW11" s="16">
        <f>IF(AND($D$11 &gt;= DATE(2022,7,1), $D$11 &lt;= DATE(2022,9,30)), $C$11 * $E$11 * $F$11, 0)</f>
        <v/>
      </c>
      <c r="AX11" s="16">
        <f>IF(AND($D$11 &gt;= DATE(2022,10,1), $D$11 &lt;= DATE(2022,12,31)), $C$11 * $E$11 * $F$11, 0)</f>
        <v/>
      </c>
      <c r="AY11" s="16">
        <f>IF(AND($D$11 &gt;= DATE(2023,1,1), $D$11 &lt;= DATE(2023,3,31)), $C$11 * $E$11 * $F$11, 0)</f>
        <v/>
      </c>
      <c r="AZ11" s="16">
        <f>IF(AND($D$11 &gt;= DATE(2023,4,1), $D$11 &lt;= DATE(2023,6,30)), $C$11 * $E$11 * $F$11, 0)</f>
        <v/>
      </c>
      <c r="BA11" s="16">
        <f>IF(AND($D$11 &gt;= DATE(2023,7,1), $D$11 &lt;= DATE(2023,9,30)), $C$11 * $E$11 * $F$11, 0)</f>
        <v/>
      </c>
      <c r="BB11" s="16">
        <f>IF(AND($D$11 &gt;= DATE(2023,10,1), $D$11 &lt;= DATE(2023,12,31)), $C$11 * $E$11 * $F$11, 0)</f>
        <v/>
      </c>
      <c r="BC11" s="16">
        <f>IF(AND($D$11 &gt;= DATE(2024,1,1), $D$11 &lt;= DATE(2024,3,31)), $C$11 * $E$11 * $F$11, 0)</f>
        <v/>
      </c>
      <c r="BD11" s="16">
        <f>IF(AND($D$11 &gt;= DATE(2024,4,1), $D$11 &lt;= DATE(2024,6,30)), $C$11 * $E$11 * $F$11, 0)</f>
        <v/>
      </c>
      <c r="BE11" s="16">
        <f>IF(AND($D$11 &gt;= DATE(2024,7,1), $D$11 &lt;= DATE(2024,9,30)), $C$11 * $E$11 * $F$11, 0)</f>
        <v/>
      </c>
      <c r="BF11" s="16">
        <f>IF(AND($D$11 &gt;= DATE(2024,10,1), $D$11 &lt;= DATE(2024,12,31)), $C$11 * $E$11 * $F$11, 0)</f>
        <v/>
      </c>
      <c r="BG11" s="16">
        <f>IF(AND($D$11 &gt;= DATE(2025,1,1), $D$11 &lt;= DATE(2025,3,31)), $C$11 * $E$11 * $F$11, 0)</f>
        <v/>
      </c>
      <c r="BH11" s="16">
        <f>IF(AND($D$11 &gt;= DATE(2025,4,1), $D$11 &lt;= DATE(2025,6,30)), $C$11 * $E$11 * $F$11, 0)</f>
        <v/>
      </c>
      <c r="BI11" s="16">
        <f>IF(AND($D$11 &gt;= DATE(2025,7,1), $D$11 &lt;= DATE(2025,9,30)), $C$11 * $E$11 * $F$11, 0)</f>
        <v/>
      </c>
      <c r="BJ11" s="16">
        <f>IF(AND($D$11 &gt;= DATE(2025,10,1), $D$11 &lt;= DATE(2025,12,31)), $C$11 * $E$11 * $F$11, 0)</f>
        <v/>
      </c>
      <c r="BK11" s="16">
        <f>IF(AND($D$11 &gt;= DATE(2026,1,1), $D$11 &lt;= DATE(2026,3,31)), $C$11 * $E$11 * $F$11, 0)</f>
        <v/>
      </c>
      <c r="BL11" s="16">
        <f>IF(AND($D$11 &gt;= DATE(2026,4,1), $D$11 &lt;= DATE(2026,6,30)), $C$11 * $E$11 * $F$11, 0)</f>
        <v/>
      </c>
      <c r="BM11" s="16">
        <f>IF(AND($D$11 &gt;= DATE(2026,7,1), $D$11 &lt;= DATE(2026,9,30)), $C$11 * $E$11 * $F$11, 0)</f>
        <v/>
      </c>
      <c r="BN11" s="16">
        <f>IF(AND($D$11 &gt;= DATE(2026,10,1), $D$11 &lt;= DATE(2026,12,31)), $C$11 * $E$11 * $F$11, 0)</f>
        <v/>
      </c>
      <c r="BO11" s="16">
        <f>IF(AND($D$11 &gt;= DATE(2027,1,1), $D$11 &lt;= DATE(2027,3,31)), $C$11 * $E$11 * $F$11, 0)</f>
        <v/>
      </c>
      <c r="BP11" s="16">
        <f>IF(AND($D$11 &gt;= DATE(2027,4,1), $D$11 &lt;= DATE(2027,6,30)), $C$11 * $E$11 * $F$11, 0)</f>
        <v/>
      </c>
      <c r="BQ11" s="16">
        <f>IF(AND($D$11 &gt;= DATE(2027,7,1), $D$11 &lt;= DATE(2027,9,30)), $C$11 * $E$11 * $F$11, 0)</f>
        <v/>
      </c>
      <c r="BR11" s="16">
        <f>IF(AND($D$11 &gt;= DATE(2027,10,1), $D$11 &lt;= DATE(2027,12,31)), $C$11 * $E$11 * $F$11, 0)</f>
        <v/>
      </c>
      <c r="BS11" s="16">
        <f>IF(AND($D$11 &gt;= DATE(2028,1,1), $D$11 &lt;= DATE(2028,3,31)), $C$11 * $E$11 * $F$11, 0)</f>
        <v/>
      </c>
      <c r="BT11" s="16">
        <f>IF(AND($D$11 &gt;= DATE(2028,4,1), $D$11 &lt;= DATE(2028,6,30)), $C$11 * $E$11 * $F$11, 0)</f>
        <v/>
      </c>
      <c r="BU11" s="16">
        <f>IF(AND($D$11 &gt;= DATE(2028,7,1), $D$11 &lt;= DATE(2028,9,30)), $C$11 * $E$11 * $F$11, 0)</f>
        <v/>
      </c>
      <c r="BV11" s="16">
        <f>IF(AND($D$11 &gt;= DATE(2028,10,1), $D$11 &lt;= DATE(2028,12,31)), $C$11 * $E$11 * $F$11, 0)</f>
        <v/>
      </c>
    </row>
    <row r="12">
      <c r="B12" t="inlineStr">
        <is>
          <t>Northfield &gt; Tessellate Robotics &gt; Platform Retainer</t>
        </is>
      </c>
      <c r="C12" s="16" t="n">
        <v>280000</v>
      </c>
      <c r="D12" s="18" t="n">
        <v>46113</v>
      </c>
      <c r="E12" s="16" t="n">
        <v>12</v>
      </c>
      <c r="F12" s="19" t="n">
        <v>1</v>
      </c>
      <c r="G12" s="18" t="n">
        <v>46143</v>
      </c>
      <c r="H12" s="18" t="n">
        <v>46478</v>
      </c>
      <c r="I12" s="16">
        <f>$C$12 * $E$12</f>
        <v/>
      </c>
      <c r="J12" s="20">
        <f>$C$12 * $E$12 * $F$12</f>
        <v/>
      </c>
      <c r="K12" s="16">
        <f>IF(($G$12&lt;=DATE(2021,3,31))*($H$12&gt;=DATE(2021,1,1)),$C$12 * $F$12 * MAX(0, MIN((YEAR($H$12)*12+MONTH($H$12)), (YEAR(DATE(2021,3,31))*12+MONTH(DATE(2021,3,31)))) - MAX((YEAR($G$12)*12+MONTH($G$12)), (YEAR(DATE(2021,1,1))*12+MONTH(DATE(2021,1,1)))) + 1),0)</f>
        <v/>
      </c>
      <c r="L12" s="16">
        <f>IF(($G$12&lt;=DATE(2021,6,30))*($H$12&gt;=DATE(2021,4,1)),$C$12 * $F$12 * MAX(0, MIN((YEAR($H$12)*12+MONTH($H$12)), (YEAR(DATE(2021,6,30))*12+MONTH(DATE(2021,6,30)))) - MAX((YEAR($G$12)*12+MONTH($G$12)), (YEAR(DATE(2021,4,1))*12+MONTH(DATE(2021,4,1)))) + 1),0)</f>
        <v/>
      </c>
      <c r="M12" s="16">
        <f>IF(($G$12&lt;=DATE(2021,9,30))*($H$12&gt;=DATE(2021,7,1)),$C$12 * $F$12 * MAX(0, MIN((YEAR($H$12)*12+MONTH($H$12)), (YEAR(DATE(2021,9,30))*12+MONTH(DATE(2021,9,30)))) - MAX((YEAR($G$12)*12+MONTH($G$12)), (YEAR(DATE(2021,7,1))*12+MONTH(DATE(2021,7,1)))) + 1),0)</f>
        <v/>
      </c>
      <c r="N12" s="16">
        <f>IF(($G$12&lt;=DATE(2021,12,31))*($H$12&gt;=DATE(2021,10,1)),$C$12 * $F$12 * MAX(0, MIN((YEAR($H$12)*12+MONTH($H$12)), (YEAR(DATE(2021,12,31))*12+MONTH(DATE(2021,12,31)))) - MAX((YEAR($G$12)*12+MONTH($G$12)), (YEAR(DATE(2021,10,1))*12+MONTH(DATE(2021,10,1)))) + 1),0)</f>
        <v/>
      </c>
      <c r="O12" s="16">
        <f>IF(($G$12&lt;=DATE(2022,3,31))*($H$12&gt;=DATE(2022,1,1)),$C$12 * $F$12 * MAX(0, MIN((YEAR($H$12)*12+MONTH($H$12)), (YEAR(DATE(2022,3,31))*12+MONTH(DATE(2022,3,31)))) - MAX((YEAR($G$12)*12+MONTH($G$12)), (YEAR(DATE(2022,1,1))*12+MONTH(DATE(2022,1,1)))) + 1),0)</f>
        <v/>
      </c>
      <c r="P12" s="16">
        <f>IF(($G$12&lt;=DATE(2022,6,30))*($H$12&gt;=DATE(2022,4,1)),$C$12 * $F$12 * MAX(0, MIN((YEAR($H$12)*12+MONTH($H$12)), (YEAR(DATE(2022,6,30))*12+MONTH(DATE(2022,6,30)))) - MAX((YEAR($G$12)*12+MONTH($G$12)), (YEAR(DATE(2022,4,1))*12+MONTH(DATE(2022,4,1)))) + 1),0)</f>
        <v/>
      </c>
      <c r="Q12" s="16">
        <f>IF(($G$12&lt;=DATE(2022,9,30))*($H$12&gt;=DATE(2022,7,1)),$C$12 * $F$12 * MAX(0, MIN((YEAR($H$12)*12+MONTH($H$12)), (YEAR(DATE(2022,9,30))*12+MONTH(DATE(2022,9,30)))) - MAX((YEAR($G$12)*12+MONTH($G$12)), (YEAR(DATE(2022,7,1))*12+MONTH(DATE(2022,7,1)))) + 1),0)</f>
        <v/>
      </c>
      <c r="R12" s="16">
        <f>IF(($G$12&lt;=DATE(2022,12,31))*($H$12&gt;=DATE(2022,10,1)),$C$12 * $F$12 * MAX(0, MIN((YEAR($H$12)*12+MONTH($H$12)), (YEAR(DATE(2022,12,31))*12+MONTH(DATE(2022,12,31)))) - MAX((YEAR($G$12)*12+MONTH($G$12)), (YEAR(DATE(2022,10,1))*12+MONTH(DATE(2022,10,1)))) + 1),0)</f>
        <v/>
      </c>
      <c r="S12" s="16">
        <f>IF(($G$12&lt;=DATE(2023,3,31))*($H$12&gt;=DATE(2023,1,1)),$C$12 * $F$12 * MAX(0, MIN((YEAR($H$12)*12+MONTH($H$12)), (YEAR(DATE(2023,3,31))*12+MONTH(DATE(2023,3,31)))) - MAX((YEAR($G$12)*12+MONTH($G$12)), (YEAR(DATE(2023,1,1))*12+MONTH(DATE(2023,1,1)))) + 1),0)</f>
        <v/>
      </c>
      <c r="T12" s="16">
        <f>IF(($G$12&lt;=DATE(2023,6,30))*($H$12&gt;=DATE(2023,4,1)),$C$12 * $F$12 * MAX(0, MIN((YEAR($H$12)*12+MONTH($H$12)), (YEAR(DATE(2023,6,30))*12+MONTH(DATE(2023,6,30)))) - MAX((YEAR($G$12)*12+MONTH($G$12)), (YEAR(DATE(2023,4,1))*12+MONTH(DATE(2023,4,1)))) + 1),0)</f>
        <v/>
      </c>
      <c r="U12" s="16">
        <f>IF(($G$12&lt;=DATE(2023,9,30))*($H$12&gt;=DATE(2023,7,1)),$C$12 * $F$12 * MAX(0, MIN((YEAR($H$12)*12+MONTH($H$12)), (YEAR(DATE(2023,9,30))*12+MONTH(DATE(2023,9,30)))) - MAX((YEAR($G$12)*12+MONTH($G$12)), (YEAR(DATE(2023,7,1))*12+MONTH(DATE(2023,7,1)))) + 1),0)</f>
        <v/>
      </c>
      <c r="V12" s="16">
        <f>IF(($G$12&lt;=DATE(2023,12,31))*($H$12&gt;=DATE(2023,10,1)),$C$12 * $F$12 * MAX(0, MIN((YEAR($H$12)*12+MONTH($H$12)), (YEAR(DATE(2023,12,31))*12+MONTH(DATE(2023,12,31)))) - MAX((YEAR($G$12)*12+MONTH($G$12)), (YEAR(DATE(2023,10,1))*12+MONTH(DATE(2023,10,1)))) + 1),0)</f>
        <v/>
      </c>
      <c r="W12" s="16">
        <f>IF(($G$12&lt;=DATE(2024,3,31))*($H$12&gt;=DATE(2024,1,1)),$C$12 * $F$12 * MAX(0, MIN((YEAR($H$12)*12+MONTH($H$12)), (YEAR(DATE(2024,3,31))*12+MONTH(DATE(2024,3,31)))) - MAX((YEAR($G$12)*12+MONTH($G$12)), (YEAR(DATE(2024,1,1))*12+MONTH(DATE(2024,1,1)))) + 1),0)</f>
        <v/>
      </c>
      <c r="X12" s="16">
        <f>IF(($G$12&lt;=DATE(2024,6,30))*($H$12&gt;=DATE(2024,4,1)),$C$12 * $F$12 * MAX(0, MIN((YEAR($H$12)*12+MONTH($H$12)), (YEAR(DATE(2024,6,30))*12+MONTH(DATE(2024,6,30)))) - MAX((YEAR($G$12)*12+MONTH($G$12)), (YEAR(DATE(2024,4,1))*12+MONTH(DATE(2024,4,1)))) + 1),0)</f>
        <v/>
      </c>
      <c r="Y12" s="16">
        <f>IF(($G$12&lt;=DATE(2024,9,30))*($H$12&gt;=DATE(2024,7,1)),$C$12 * $F$12 * MAX(0, MIN((YEAR($H$12)*12+MONTH($H$12)), (YEAR(DATE(2024,9,30))*12+MONTH(DATE(2024,9,30)))) - MAX((YEAR($G$12)*12+MONTH($G$12)), (YEAR(DATE(2024,7,1))*12+MONTH(DATE(2024,7,1)))) + 1),0)</f>
        <v/>
      </c>
      <c r="Z12" s="16">
        <f>IF(($G$12&lt;=DATE(2024,12,31))*($H$12&gt;=DATE(2024,10,1)),$C$12 * $F$12 * MAX(0, MIN((YEAR($H$12)*12+MONTH($H$12)), (YEAR(DATE(2024,12,31))*12+MONTH(DATE(2024,12,31)))) - MAX((YEAR($G$12)*12+MONTH($G$12)), (YEAR(DATE(2024,10,1))*12+MONTH(DATE(2024,10,1)))) + 1),0)</f>
        <v/>
      </c>
      <c r="AA12" s="16">
        <f>IF(($G$12&lt;=DATE(2025,3,31))*($H$12&gt;=DATE(2025,1,1)),$C$12 * $F$12 * MAX(0, MIN((YEAR($H$12)*12+MONTH($H$12)), (YEAR(DATE(2025,3,31))*12+MONTH(DATE(2025,3,31)))) - MAX((YEAR($G$12)*12+MONTH($G$12)), (YEAR(DATE(2025,1,1))*12+MONTH(DATE(2025,1,1)))) + 1),0)</f>
        <v/>
      </c>
      <c r="AB12" s="16">
        <f>IF(($G$12&lt;=DATE(2025,6,30))*($H$12&gt;=DATE(2025,4,1)),$C$12 * $F$12 * MAX(0, MIN((YEAR($H$12)*12+MONTH($H$12)), (YEAR(DATE(2025,6,30))*12+MONTH(DATE(2025,6,30)))) - MAX((YEAR($G$12)*12+MONTH($G$12)), (YEAR(DATE(2025,4,1))*12+MONTH(DATE(2025,4,1)))) + 1),0)</f>
        <v/>
      </c>
      <c r="AC12" s="16">
        <f>IF(($G$12&lt;=DATE(2025,9,30))*($H$12&gt;=DATE(2025,7,1)),$C$12 * $F$12 * MAX(0, MIN((YEAR($H$12)*12+MONTH($H$12)), (YEAR(DATE(2025,9,30))*12+MONTH(DATE(2025,9,30)))) - MAX((YEAR($G$12)*12+MONTH($G$12)), (YEAR(DATE(2025,7,1))*12+MONTH(DATE(2025,7,1)))) + 1),0)</f>
        <v/>
      </c>
      <c r="AD12" s="16">
        <f>IF(($G$12&lt;=DATE(2025,12,31))*($H$12&gt;=DATE(2025,10,1)),$C$12 * $F$12 * MAX(0, MIN((YEAR($H$12)*12+MONTH($H$12)), (YEAR(DATE(2025,12,31))*12+MONTH(DATE(2025,12,31)))) - MAX((YEAR($G$12)*12+MONTH($G$12)), (YEAR(DATE(2025,10,1))*12+MONTH(DATE(2025,10,1)))) + 1),0)</f>
        <v/>
      </c>
      <c r="AE12" s="16">
        <f>IF(($G$12&lt;=DATE(2026,3,31))*($H$12&gt;=DATE(2026,1,1)),$C$12 * $F$12 * MAX(0, MIN((YEAR($H$12)*12+MONTH($H$12)), (YEAR(DATE(2026,3,31))*12+MONTH(DATE(2026,3,31)))) - MAX((YEAR($G$12)*12+MONTH($G$12)), (YEAR(DATE(2026,1,1))*12+MONTH(DATE(2026,1,1)))) + 1),0)</f>
        <v/>
      </c>
      <c r="AF12" s="16">
        <f>IF(($G$12&lt;=DATE(2026,6,30))*($H$12&gt;=DATE(2026,4,1)),$C$12 * $F$12 * MAX(0, MIN((YEAR($H$12)*12+MONTH($H$12)), (YEAR(DATE(2026,6,30))*12+MONTH(DATE(2026,6,30)))) - MAX((YEAR($G$12)*12+MONTH($G$12)), (YEAR(DATE(2026,4,1))*12+MONTH(DATE(2026,4,1)))) + 1),0)</f>
        <v/>
      </c>
      <c r="AG12" s="16">
        <f>IF(($G$12&lt;=DATE(2026,9,30))*($H$12&gt;=DATE(2026,7,1)),$C$12 * $F$12 * MAX(0, MIN((YEAR($H$12)*12+MONTH($H$12)), (YEAR(DATE(2026,9,30))*12+MONTH(DATE(2026,9,30)))) - MAX((YEAR($G$12)*12+MONTH($G$12)), (YEAR(DATE(2026,7,1))*12+MONTH(DATE(2026,7,1)))) + 1),0)</f>
        <v/>
      </c>
      <c r="AH12" s="16">
        <f>IF(($G$12&lt;=DATE(2026,12,31))*($H$12&gt;=DATE(2026,10,1)),$C$12 * $F$12 * MAX(0, MIN((YEAR($H$12)*12+MONTH($H$12)), (YEAR(DATE(2026,12,31))*12+MONTH(DATE(2026,12,31)))) - MAX((YEAR($G$12)*12+MONTH($G$12)), (YEAR(DATE(2026,10,1))*12+MONTH(DATE(2026,10,1)))) + 1),0)</f>
        <v/>
      </c>
      <c r="AI12" s="16">
        <f>IF(($G$12&lt;=DATE(2027,3,31))*($H$12&gt;=DATE(2027,1,1)),$C$12 * $F$12 * MAX(0, MIN((YEAR($H$12)*12+MONTH($H$12)), (YEAR(DATE(2027,3,31))*12+MONTH(DATE(2027,3,31)))) - MAX((YEAR($G$12)*12+MONTH($G$12)), (YEAR(DATE(2027,1,1))*12+MONTH(DATE(2027,1,1)))) + 1),0)</f>
        <v/>
      </c>
      <c r="AJ12" s="16">
        <f>IF(($G$12&lt;=DATE(2027,6,30))*($H$12&gt;=DATE(2027,4,1)),$C$12 * $F$12 * MAX(0, MIN((YEAR($H$12)*12+MONTH($H$12)), (YEAR(DATE(2027,6,30))*12+MONTH(DATE(2027,6,30)))) - MAX((YEAR($G$12)*12+MONTH($G$12)), (YEAR(DATE(2027,4,1))*12+MONTH(DATE(2027,4,1)))) + 1),0)</f>
        <v/>
      </c>
      <c r="AK12" s="16">
        <f>IF(($G$12&lt;=DATE(2027,9,30))*($H$12&gt;=DATE(2027,7,1)),$C$12 * $F$12 * MAX(0, MIN((YEAR($H$12)*12+MONTH($H$12)), (YEAR(DATE(2027,9,30))*12+MONTH(DATE(2027,9,30)))) - MAX((YEAR($G$12)*12+MONTH($G$12)), (YEAR(DATE(2027,7,1))*12+MONTH(DATE(2027,7,1)))) + 1),0)</f>
        <v/>
      </c>
      <c r="AL12" s="16">
        <f>IF(($G$12&lt;=DATE(2027,12,31))*($H$12&gt;=DATE(2027,10,1)),$C$12 * $F$12 * MAX(0, MIN((YEAR($H$12)*12+MONTH($H$12)), (YEAR(DATE(2027,12,31))*12+MONTH(DATE(2027,12,31)))) - MAX((YEAR($G$12)*12+MONTH($G$12)), (YEAR(DATE(2027,10,1))*12+MONTH(DATE(2027,10,1)))) + 1),0)</f>
        <v/>
      </c>
      <c r="AM12" s="16">
        <f>IF(($G$12&lt;=DATE(2028,3,31))*($H$12&gt;=DATE(2028,1,1)),$C$12 * $F$12 * MAX(0, MIN((YEAR($H$12)*12+MONTH($H$12)), (YEAR(DATE(2028,3,31))*12+MONTH(DATE(2028,3,31)))) - MAX((YEAR($G$12)*12+MONTH($G$12)), (YEAR(DATE(2028,1,1))*12+MONTH(DATE(2028,1,1)))) + 1),0)</f>
        <v/>
      </c>
      <c r="AN12" s="16">
        <f>IF(($G$12&lt;=DATE(2028,6,30))*($H$12&gt;=DATE(2028,4,1)),$C$12 * $F$12 * MAX(0, MIN((YEAR($H$12)*12+MONTH($H$12)), (YEAR(DATE(2028,6,30))*12+MONTH(DATE(2028,6,30)))) - MAX((YEAR($G$12)*12+MONTH($G$12)), (YEAR(DATE(2028,4,1))*12+MONTH(DATE(2028,4,1)))) + 1),0)</f>
        <v/>
      </c>
      <c r="AO12" s="16">
        <f>IF(($G$12&lt;=DATE(2028,9,30))*($H$12&gt;=DATE(2028,7,1)),$C$12 * $F$12 * MAX(0, MIN((YEAR($H$12)*12+MONTH($H$12)), (YEAR(DATE(2028,9,30))*12+MONTH(DATE(2028,9,30)))) - MAX((YEAR($G$12)*12+MONTH($G$12)), (YEAR(DATE(2028,7,1))*12+MONTH(DATE(2028,7,1)))) + 1),0)</f>
        <v/>
      </c>
      <c r="AP12" s="16">
        <f>IF(($G$12&lt;=DATE(2028,12,31))*($H$12&gt;=DATE(2028,10,1)),$C$12 * $F$12 * MAX(0, MIN((YEAR($H$12)*12+MONTH($H$12)), (YEAR(DATE(2028,12,31))*12+MONTH(DATE(2028,12,31)))) - MAX((YEAR($G$12)*12+MONTH($G$12)), (YEAR(DATE(2028,10,1))*12+MONTH(DATE(2028,10,1)))) + 1),0)</f>
        <v/>
      </c>
      <c r="AQ12" s="16">
        <f>IF(AND($D$12 &gt;= DATE(2021,1,1), $D$12 &lt;= DATE(2021,3,31)), $C$12 * $E$12 * $F$12, 0)</f>
        <v/>
      </c>
      <c r="AR12" s="16">
        <f>IF(AND($D$12 &gt;= DATE(2021,4,1), $D$12 &lt;= DATE(2021,6,30)), $C$12 * $E$12 * $F$12, 0)</f>
        <v/>
      </c>
      <c r="AS12" s="16">
        <f>IF(AND($D$12 &gt;= DATE(2021,7,1), $D$12 &lt;= DATE(2021,9,30)), $C$12 * $E$12 * $F$12, 0)</f>
        <v/>
      </c>
      <c r="AT12" s="16">
        <f>IF(AND($D$12 &gt;= DATE(2021,10,1), $D$12 &lt;= DATE(2021,12,31)), $C$12 * $E$12 * $F$12, 0)</f>
        <v/>
      </c>
      <c r="AU12" s="16">
        <f>IF(AND($D$12 &gt;= DATE(2022,1,1), $D$12 &lt;= DATE(2022,3,31)), $C$12 * $E$12 * $F$12, 0)</f>
        <v/>
      </c>
      <c r="AV12" s="16">
        <f>IF(AND($D$12 &gt;= DATE(2022,4,1), $D$12 &lt;= DATE(2022,6,30)), $C$12 * $E$12 * $F$12, 0)</f>
        <v/>
      </c>
      <c r="AW12" s="16">
        <f>IF(AND($D$12 &gt;= DATE(2022,7,1), $D$12 &lt;= DATE(2022,9,30)), $C$12 * $E$12 * $F$12, 0)</f>
        <v/>
      </c>
      <c r="AX12" s="16">
        <f>IF(AND($D$12 &gt;= DATE(2022,10,1), $D$12 &lt;= DATE(2022,12,31)), $C$12 * $E$12 * $F$12, 0)</f>
        <v/>
      </c>
      <c r="AY12" s="16">
        <f>IF(AND($D$12 &gt;= DATE(2023,1,1), $D$12 &lt;= DATE(2023,3,31)), $C$12 * $E$12 * $F$12, 0)</f>
        <v/>
      </c>
      <c r="AZ12" s="16">
        <f>IF(AND($D$12 &gt;= DATE(2023,4,1), $D$12 &lt;= DATE(2023,6,30)), $C$12 * $E$12 * $F$12, 0)</f>
        <v/>
      </c>
      <c r="BA12" s="16">
        <f>IF(AND($D$12 &gt;= DATE(2023,7,1), $D$12 &lt;= DATE(2023,9,30)), $C$12 * $E$12 * $F$12, 0)</f>
        <v/>
      </c>
      <c r="BB12" s="16">
        <f>IF(AND($D$12 &gt;= DATE(2023,10,1), $D$12 &lt;= DATE(2023,12,31)), $C$12 * $E$12 * $F$12, 0)</f>
        <v/>
      </c>
      <c r="BC12" s="16">
        <f>IF(AND($D$12 &gt;= DATE(2024,1,1), $D$12 &lt;= DATE(2024,3,31)), $C$12 * $E$12 * $F$12, 0)</f>
        <v/>
      </c>
      <c r="BD12" s="16">
        <f>IF(AND($D$12 &gt;= DATE(2024,4,1), $D$12 &lt;= DATE(2024,6,30)), $C$12 * $E$12 * $F$12, 0)</f>
        <v/>
      </c>
      <c r="BE12" s="16">
        <f>IF(AND($D$12 &gt;= DATE(2024,7,1), $D$12 &lt;= DATE(2024,9,30)), $C$12 * $E$12 * $F$12, 0)</f>
        <v/>
      </c>
      <c r="BF12" s="16">
        <f>IF(AND($D$12 &gt;= DATE(2024,10,1), $D$12 &lt;= DATE(2024,12,31)), $C$12 * $E$12 * $F$12, 0)</f>
        <v/>
      </c>
      <c r="BG12" s="16">
        <f>IF(AND($D$12 &gt;= DATE(2025,1,1), $D$12 &lt;= DATE(2025,3,31)), $C$12 * $E$12 * $F$12, 0)</f>
        <v/>
      </c>
      <c r="BH12" s="16">
        <f>IF(AND($D$12 &gt;= DATE(2025,4,1), $D$12 &lt;= DATE(2025,6,30)), $C$12 * $E$12 * $F$12, 0)</f>
        <v/>
      </c>
      <c r="BI12" s="16">
        <f>IF(AND($D$12 &gt;= DATE(2025,7,1), $D$12 &lt;= DATE(2025,9,30)), $C$12 * $E$12 * $F$12, 0)</f>
        <v/>
      </c>
      <c r="BJ12" s="16">
        <f>IF(AND($D$12 &gt;= DATE(2025,10,1), $D$12 &lt;= DATE(2025,12,31)), $C$12 * $E$12 * $F$12, 0)</f>
        <v/>
      </c>
      <c r="BK12" s="16">
        <f>IF(AND($D$12 &gt;= DATE(2026,1,1), $D$12 &lt;= DATE(2026,3,31)), $C$12 * $E$12 * $F$12, 0)</f>
        <v/>
      </c>
      <c r="BL12" s="16">
        <f>IF(AND($D$12 &gt;= DATE(2026,4,1), $D$12 &lt;= DATE(2026,6,30)), $C$12 * $E$12 * $F$12, 0)</f>
        <v/>
      </c>
      <c r="BM12" s="16">
        <f>IF(AND($D$12 &gt;= DATE(2026,7,1), $D$12 &lt;= DATE(2026,9,30)), $C$12 * $E$12 * $F$12, 0)</f>
        <v/>
      </c>
      <c r="BN12" s="16">
        <f>IF(AND($D$12 &gt;= DATE(2026,10,1), $D$12 &lt;= DATE(2026,12,31)), $C$12 * $E$12 * $F$12, 0)</f>
        <v/>
      </c>
      <c r="BO12" s="16">
        <f>IF(AND($D$12 &gt;= DATE(2027,1,1), $D$12 &lt;= DATE(2027,3,31)), $C$12 * $E$12 * $F$12, 0)</f>
        <v/>
      </c>
      <c r="BP12" s="16">
        <f>IF(AND($D$12 &gt;= DATE(2027,4,1), $D$12 &lt;= DATE(2027,6,30)), $C$12 * $E$12 * $F$12, 0)</f>
        <v/>
      </c>
      <c r="BQ12" s="16">
        <f>IF(AND($D$12 &gt;= DATE(2027,7,1), $D$12 &lt;= DATE(2027,9,30)), $C$12 * $E$12 * $F$12, 0)</f>
        <v/>
      </c>
      <c r="BR12" s="16">
        <f>IF(AND($D$12 &gt;= DATE(2027,10,1), $D$12 &lt;= DATE(2027,12,31)), $C$12 * $E$12 * $F$12, 0)</f>
        <v/>
      </c>
      <c r="BS12" s="16">
        <f>IF(AND($D$12 &gt;= DATE(2028,1,1), $D$12 &lt;= DATE(2028,3,31)), $C$12 * $E$12 * $F$12, 0)</f>
        <v/>
      </c>
      <c r="BT12" s="16">
        <f>IF(AND($D$12 &gt;= DATE(2028,4,1), $D$12 &lt;= DATE(2028,6,30)), $C$12 * $E$12 * $F$12, 0)</f>
        <v/>
      </c>
      <c r="BU12" s="16">
        <f>IF(AND($D$12 &gt;= DATE(2028,7,1), $D$12 &lt;= DATE(2028,9,30)), $C$12 * $E$12 * $F$12, 0)</f>
        <v/>
      </c>
      <c r="BV12" s="16">
        <f>IF(AND($D$12 &gt;= DATE(2028,10,1), $D$12 &lt;= DATE(2028,12,31)), $C$12 * $E$12 * $F$12, 0)</f>
        <v/>
      </c>
    </row>
    <row r="13">
      <c r="B13" t="inlineStr">
        <is>
          <t>Westgate &gt; Vantage Power &gt; Cell Module Development</t>
        </is>
      </c>
      <c r="C13" s="16" t="n">
        <v>260000</v>
      </c>
      <c r="D13" s="18" t="n">
        <v>46143</v>
      </c>
      <c r="E13" s="16" t="n">
        <v>8</v>
      </c>
      <c r="F13" s="19" t="n">
        <v>1</v>
      </c>
      <c r="G13" s="18" t="n">
        <v>46174</v>
      </c>
      <c r="H13" s="18" t="n">
        <v>46388</v>
      </c>
      <c r="I13" s="16">
        <f>$C$13 * $E$13</f>
        <v/>
      </c>
      <c r="J13" s="20">
        <f>$C$13 * $E$13 * $F$13</f>
        <v/>
      </c>
      <c r="K13" s="16">
        <f>IF(($G$13&lt;=DATE(2021,3,31))*($H$13&gt;=DATE(2021,1,1)),$C$13 * $F$13 * MAX(0, MIN((YEAR($H$13)*12+MONTH($H$13)), (YEAR(DATE(2021,3,31))*12+MONTH(DATE(2021,3,31)))) - MAX((YEAR($G$13)*12+MONTH($G$13)), (YEAR(DATE(2021,1,1))*12+MONTH(DATE(2021,1,1)))) + 1),0)</f>
        <v/>
      </c>
      <c r="L13" s="16">
        <f>IF(($G$13&lt;=DATE(2021,6,30))*($H$13&gt;=DATE(2021,4,1)),$C$13 * $F$13 * MAX(0, MIN((YEAR($H$13)*12+MONTH($H$13)), (YEAR(DATE(2021,6,30))*12+MONTH(DATE(2021,6,30)))) - MAX((YEAR($G$13)*12+MONTH($G$13)), (YEAR(DATE(2021,4,1))*12+MONTH(DATE(2021,4,1)))) + 1),0)</f>
        <v/>
      </c>
      <c r="M13" s="16">
        <f>IF(($G$13&lt;=DATE(2021,9,30))*($H$13&gt;=DATE(2021,7,1)),$C$13 * $F$13 * MAX(0, MIN((YEAR($H$13)*12+MONTH($H$13)), (YEAR(DATE(2021,9,30))*12+MONTH(DATE(2021,9,30)))) - MAX((YEAR($G$13)*12+MONTH($G$13)), (YEAR(DATE(2021,7,1))*12+MONTH(DATE(2021,7,1)))) + 1),0)</f>
        <v/>
      </c>
      <c r="N13" s="16">
        <f>IF(($G$13&lt;=DATE(2021,12,31))*($H$13&gt;=DATE(2021,10,1)),$C$13 * $F$13 * MAX(0, MIN((YEAR($H$13)*12+MONTH($H$13)), (YEAR(DATE(2021,12,31))*12+MONTH(DATE(2021,12,31)))) - MAX((YEAR($G$13)*12+MONTH($G$13)), (YEAR(DATE(2021,10,1))*12+MONTH(DATE(2021,10,1)))) + 1),0)</f>
        <v/>
      </c>
      <c r="O13" s="16">
        <f>IF(($G$13&lt;=DATE(2022,3,31))*($H$13&gt;=DATE(2022,1,1)),$C$13 * $F$13 * MAX(0, MIN((YEAR($H$13)*12+MONTH($H$13)), (YEAR(DATE(2022,3,31))*12+MONTH(DATE(2022,3,31)))) - MAX((YEAR($G$13)*12+MONTH($G$13)), (YEAR(DATE(2022,1,1))*12+MONTH(DATE(2022,1,1)))) + 1),0)</f>
        <v/>
      </c>
      <c r="P13" s="16">
        <f>IF(($G$13&lt;=DATE(2022,6,30))*($H$13&gt;=DATE(2022,4,1)),$C$13 * $F$13 * MAX(0, MIN((YEAR($H$13)*12+MONTH($H$13)), (YEAR(DATE(2022,6,30))*12+MONTH(DATE(2022,6,30)))) - MAX((YEAR($G$13)*12+MONTH($G$13)), (YEAR(DATE(2022,4,1))*12+MONTH(DATE(2022,4,1)))) + 1),0)</f>
        <v/>
      </c>
      <c r="Q13" s="16">
        <f>IF(($G$13&lt;=DATE(2022,9,30))*($H$13&gt;=DATE(2022,7,1)),$C$13 * $F$13 * MAX(0, MIN((YEAR($H$13)*12+MONTH($H$13)), (YEAR(DATE(2022,9,30))*12+MONTH(DATE(2022,9,30)))) - MAX((YEAR($G$13)*12+MONTH($G$13)), (YEAR(DATE(2022,7,1))*12+MONTH(DATE(2022,7,1)))) + 1),0)</f>
        <v/>
      </c>
      <c r="R13" s="16">
        <f>IF(($G$13&lt;=DATE(2022,12,31))*($H$13&gt;=DATE(2022,10,1)),$C$13 * $F$13 * MAX(0, MIN((YEAR($H$13)*12+MONTH($H$13)), (YEAR(DATE(2022,12,31))*12+MONTH(DATE(2022,12,31)))) - MAX((YEAR($G$13)*12+MONTH($G$13)), (YEAR(DATE(2022,10,1))*12+MONTH(DATE(2022,10,1)))) + 1),0)</f>
        <v/>
      </c>
      <c r="S13" s="16">
        <f>IF(($G$13&lt;=DATE(2023,3,31))*($H$13&gt;=DATE(2023,1,1)),$C$13 * $F$13 * MAX(0, MIN((YEAR($H$13)*12+MONTH($H$13)), (YEAR(DATE(2023,3,31))*12+MONTH(DATE(2023,3,31)))) - MAX((YEAR($G$13)*12+MONTH($G$13)), (YEAR(DATE(2023,1,1))*12+MONTH(DATE(2023,1,1)))) + 1),0)</f>
        <v/>
      </c>
      <c r="T13" s="16">
        <f>IF(($G$13&lt;=DATE(2023,6,30))*($H$13&gt;=DATE(2023,4,1)),$C$13 * $F$13 * MAX(0, MIN((YEAR($H$13)*12+MONTH($H$13)), (YEAR(DATE(2023,6,30))*12+MONTH(DATE(2023,6,30)))) - MAX((YEAR($G$13)*12+MONTH($G$13)), (YEAR(DATE(2023,4,1))*12+MONTH(DATE(2023,4,1)))) + 1),0)</f>
        <v/>
      </c>
      <c r="U13" s="16">
        <f>IF(($G$13&lt;=DATE(2023,9,30))*($H$13&gt;=DATE(2023,7,1)),$C$13 * $F$13 * MAX(0, MIN((YEAR($H$13)*12+MONTH($H$13)), (YEAR(DATE(2023,9,30))*12+MONTH(DATE(2023,9,30)))) - MAX((YEAR($G$13)*12+MONTH($G$13)), (YEAR(DATE(2023,7,1))*12+MONTH(DATE(2023,7,1)))) + 1),0)</f>
        <v/>
      </c>
      <c r="V13" s="16">
        <f>IF(($G$13&lt;=DATE(2023,12,31))*($H$13&gt;=DATE(2023,10,1)),$C$13 * $F$13 * MAX(0, MIN((YEAR($H$13)*12+MONTH($H$13)), (YEAR(DATE(2023,12,31))*12+MONTH(DATE(2023,12,31)))) - MAX((YEAR($G$13)*12+MONTH($G$13)), (YEAR(DATE(2023,10,1))*12+MONTH(DATE(2023,10,1)))) + 1),0)</f>
        <v/>
      </c>
      <c r="W13" s="16">
        <f>IF(($G$13&lt;=DATE(2024,3,31))*($H$13&gt;=DATE(2024,1,1)),$C$13 * $F$13 * MAX(0, MIN((YEAR($H$13)*12+MONTH($H$13)), (YEAR(DATE(2024,3,31))*12+MONTH(DATE(2024,3,31)))) - MAX((YEAR($G$13)*12+MONTH($G$13)), (YEAR(DATE(2024,1,1))*12+MONTH(DATE(2024,1,1)))) + 1),0)</f>
        <v/>
      </c>
      <c r="X13" s="16">
        <f>IF(($G$13&lt;=DATE(2024,6,30))*($H$13&gt;=DATE(2024,4,1)),$C$13 * $F$13 * MAX(0, MIN((YEAR($H$13)*12+MONTH($H$13)), (YEAR(DATE(2024,6,30))*12+MONTH(DATE(2024,6,30)))) - MAX((YEAR($G$13)*12+MONTH($G$13)), (YEAR(DATE(2024,4,1))*12+MONTH(DATE(2024,4,1)))) + 1),0)</f>
        <v/>
      </c>
      <c r="Y13" s="16">
        <f>IF(($G$13&lt;=DATE(2024,9,30))*($H$13&gt;=DATE(2024,7,1)),$C$13 * $F$13 * MAX(0, MIN((YEAR($H$13)*12+MONTH($H$13)), (YEAR(DATE(2024,9,30))*12+MONTH(DATE(2024,9,30)))) - MAX((YEAR($G$13)*12+MONTH($G$13)), (YEAR(DATE(2024,7,1))*12+MONTH(DATE(2024,7,1)))) + 1),0)</f>
        <v/>
      </c>
      <c r="Z13" s="16">
        <f>IF(($G$13&lt;=DATE(2024,12,31))*($H$13&gt;=DATE(2024,10,1)),$C$13 * $F$13 * MAX(0, MIN((YEAR($H$13)*12+MONTH($H$13)), (YEAR(DATE(2024,12,31))*12+MONTH(DATE(2024,12,31)))) - MAX((YEAR($G$13)*12+MONTH($G$13)), (YEAR(DATE(2024,10,1))*12+MONTH(DATE(2024,10,1)))) + 1),0)</f>
        <v/>
      </c>
      <c r="AA13" s="16">
        <f>IF(($G$13&lt;=DATE(2025,3,31))*($H$13&gt;=DATE(2025,1,1)),$C$13 * $F$13 * MAX(0, MIN((YEAR($H$13)*12+MONTH($H$13)), (YEAR(DATE(2025,3,31))*12+MONTH(DATE(2025,3,31)))) - MAX((YEAR($G$13)*12+MONTH($G$13)), (YEAR(DATE(2025,1,1))*12+MONTH(DATE(2025,1,1)))) + 1),0)</f>
        <v/>
      </c>
      <c r="AB13" s="16">
        <f>IF(($G$13&lt;=DATE(2025,6,30))*($H$13&gt;=DATE(2025,4,1)),$C$13 * $F$13 * MAX(0, MIN((YEAR($H$13)*12+MONTH($H$13)), (YEAR(DATE(2025,6,30))*12+MONTH(DATE(2025,6,30)))) - MAX((YEAR($G$13)*12+MONTH($G$13)), (YEAR(DATE(2025,4,1))*12+MONTH(DATE(2025,4,1)))) + 1),0)</f>
        <v/>
      </c>
      <c r="AC13" s="16">
        <f>IF(($G$13&lt;=DATE(2025,9,30))*($H$13&gt;=DATE(2025,7,1)),$C$13 * $F$13 * MAX(0, MIN((YEAR($H$13)*12+MONTH($H$13)), (YEAR(DATE(2025,9,30))*12+MONTH(DATE(2025,9,30)))) - MAX((YEAR($G$13)*12+MONTH($G$13)), (YEAR(DATE(2025,7,1))*12+MONTH(DATE(2025,7,1)))) + 1),0)</f>
        <v/>
      </c>
      <c r="AD13" s="16">
        <f>IF(($G$13&lt;=DATE(2025,12,31))*($H$13&gt;=DATE(2025,10,1)),$C$13 * $F$13 * MAX(0, MIN((YEAR($H$13)*12+MONTH($H$13)), (YEAR(DATE(2025,12,31))*12+MONTH(DATE(2025,12,31)))) - MAX((YEAR($G$13)*12+MONTH($G$13)), (YEAR(DATE(2025,10,1))*12+MONTH(DATE(2025,10,1)))) + 1),0)</f>
        <v/>
      </c>
      <c r="AE13" s="16">
        <f>IF(($G$13&lt;=DATE(2026,3,31))*($H$13&gt;=DATE(2026,1,1)),$C$13 * $F$13 * MAX(0, MIN((YEAR($H$13)*12+MONTH($H$13)), (YEAR(DATE(2026,3,31))*12+MONTH(DATE(2026,3,31)))) - MAX((YEAR($G$13)*12+MONTH($G$13)), (YEAR(DATE(2026,1,1))*12+MONTH(DATE(2026,1,1)))) + 1),0)</f>
        <v/>
      </c>
      <c r="AF13" s="16">
        <f>IF(($G$13&lt;=DATE(2026,6,30))*($H$13&gt;=DATE(2026,4,1)),$C$13 * $F$13 * MAX(0, MIN((YEAR($H$13)*12+MONTH($H$13)), (YEAR(DATE(2026,6,30))*12+MONTH(DATE(2026,6,30)))) - MAX((YEAR($G$13)*12+MONTH($G$13)), (YEAR(DATE(2026,4,1))*12+MONTH(DATE(2026,4,1)))) + 1),0)</f>
        <v/>
      </c>
      <c r="AG13" s="16">
        <f>IF(($G$13&lt;=DATE(2026,9,30))*($H$13&gt;=DATE(2026,7,1)),$C$13 * $F$13 * MAX(0, MIN((YEAR($H$13)*12+MONTH($H$13)), (YEAR(DATE(2026,9,30))*12+MONTH(DATE(2026,9,30)))) - MAX((YEAR($G$13)*12+MONTH($G$13)), (YEAR(DATE(2026,7,1))*12+MONTH(DATE(2026,7,1)))) + 1),0)</f>
        <v/>
      </c>
      <c r="AH13" s="16">
        <f>IF(($G$13&lt;=DATE(2026,12,31))*($H$13&gt;=DATE(2026,10,1)),$C$13 * $F$13 * MAX(0, MIN((YEAR($H$13)*12+MONTH($H$13)), (YEAR(DATE(2026,12,31))*12+MONTH(DATE(2026,12,31)))) - MAX((YEAR($G$13)*12+MONTH($G$13)), (YEAR(DATE(2026,10,1))*12+MONTH(DATE(2026,10,1)))) + 1),0)</f>
        <v/>
      </c>
      <c r="AI13" s="16">
        <f>IF(($G$13&lt;=DATE(2027,3,31))*($H$13&gt;=DATE(2027,1,1)),$C$13 * $F$13 * MAX(0, MIN((YEAR($H$13)*12+MONTH($H$13)), (YEAR(DATE(2027,3,31))*12+MONTH(DATE(2027,3,31)))) - MAX((YEAR($G$13)*12+MONTH($G$13)), (YEAR(DATE(2027,1,1))*12+MONTH(DATE(2027,1,1)))) + 1),0)</f>
        <v/>
      </c>
      <c r="AJ13" s="16">
        <f>IF(($G$13&lt;=DATE(2027,6,30))*($H$13&gt;=DATE(2027,4,1)),$C$13 * $F$13 * MAX(0, MIN((YEAR($H$13)*12+MONTH($H$13)), (YEAR(DATE(2027,6,30))*12+MONTH(DATE(2027,6,30)))) - MAX((YEAR($G$13)*12+MONTH($G$13)), (YEAR(DATE(2027,4,1))*12+MONTH(DATE(2027,4,1)))) + 1),0)</f>
        <v/>
      </c>
      <c r="AK13" s="16">
        <f>IF(($G$13&lt;=DATE(2027,9,30))*($H$13&gt;=DATE(2027,7,1)),$C$13 * $F$13 * MAX(0, MIN((YEAR($H$13)*12+MONTH($H$13)), (YEAR(DATE(2027,9,30))*12+MONTH(DATE(2027,9,30)))) - MAX((YEAR($G$13)*12+MONTH($G$13)), (YEAR(DATE(2027,7,1))*12+MONTH(DATE(2027,7,1)))) + 1),0)</f>
        <v/>
      </c>
      <c r="AL13" s="16">
        <f>IF(($G$13&lt;=DATE(2027,12,31))*($H$13&gt;=DATE(2027,10,1)),$C$13 * $F$13 * MAX(0, MIN((YEAR($H$13)*12+MONTH($H$13)), (YEAR(DATE(2027,12,31))*12+MONTH(DATE(2027,12,31)))) - MAX((YEAR($G$13)*12+MONTH($G$13)), (YEAR(DATE(2027,10,1))*12+MONTH(DATE(2027,10,1)))) + 1),0)</f>
        <v/>
      </c>
      <c r="AM13" s="16">
        <f>IF(($G$13&lt;=DATE(2028,3,31))*($H$13&gt;=DATE(2028,1,1)),$C$13 * $F$13 * MAX(0, MIN((YEAR($H$13)*12+MONTH($H$13)), (YEAR(DATE(2028,3,31))*12+MONTH(DATE(2028,3,31)))) - MAX((YEAR($G$13)*12+MONTH($G$13)), (YEAR(DATE(2028,1,1))*12+MONTH(DATE(2028,1,1)))) + 1),0)</f>
        <v/>
      </c>
      <c r="AN13" s="16">
        <f>IF(($G$13&lt;=DATE(2028,6,30))*($H$13&gt;=DATE(2028,4,1)),$C$13 * $F$13 * MAX(0, MIN((YEAR($H$13)*12+MONTH($H$13)), (YEAR(DATE(2028,6,30))*12+MONTH(DATE(2028,6,30)))) - MAX((YEAR($G$13)*12+MONTH($G$13)), (YEAR(DATE(2028,4,1))*12+MONTH(DATE(2028,4,1)))) + 1),0)</f>
        <v/>
      </c>
      <c r="AO13" s="16">
        <f>IF(($G$13&lt;=DATE(2028,9,30))*($H$13&gt;=DATE(2028,7,1)),$C$13 * $F$13 * MAX(0, MIN((YEAR($H$13)*12+MONTH($H$13)), (YEAR(DATE(2028,9,30))*12+MONTH(DATE(2028,9,30)))) - MAX((YEAR($G$13)*12+MONTH($G$13)), (YEAR(DATE(2028,7,1))*12+MONTH(DATE(2028,7,1)))) + 1),0)</f>
        <v/>
      </c>
      <c r="AP13" s="16">
        <f>IF(($G$13&lt;=DATE(2028,12,31))*($H$13&gt;=DATE(2028,10,1)),$C$13 * $F$13 * MAX(0, MIN((YEAR($H$13)*12+MONTH($H$13)), (YEAR(DATE(2028,12,31))*12+MONTH(DATE(2028,12,31)))) - MAX((YEAR($G$13)*12+MONTH($G$13)), (YEAR(DATE(2028,10,1))*12+MONTH(DATE(2028,10,1)))) + 1),0)</f>
        <v/>
      </c>
      <c r="AQ13" s="16">
        <f>IF(AND($D$13 &gt;= DATE(2021,1,1), $D$13 &lt;= DATE(2021,3,31)), $C$13 * $E$13 * $F$13, 0)</f>
        <v/>
      </c>
      <c r="AR13" s="16">
        <f>IF(AND($D$13 &gt;= DATE(2021,4,1), $D$13 &lt;= DATE(2021,6,30)), $C$13 * $E$13 * $F$13, 0)</f>
        <v/>
      </c>
      <c r="AS13" s="16">
        <f>IF(AND($D$13 &gt;= DATE(2021,7,1), $D$13 &lt;= DATE(2021,9,30)), $C$13 * $E$13 * $F$13, 0)</f>
        <v/>
      </c>
      <c r="AT13" s="16">
        <f>IF(AND($D$13 &gt;= DATE(2021,10,1), $D$13 &lt;= DATE(2021,12,31)), $C$13 * $E$13 * $F$13, 0)</f>
        <v/>
      </c>
      <c r="AU13" s="16">
        <f>IF(AND($D$13 &gt;= DATE(2022,1,1), $D$13 &lt;= DATE(2022,3,31)), $C$13 * $E$13 * $F$13, 0)</f>
        <v/>
      </c>
      <c r="AV13" s="16">
        <f>IF(AND($D$13 &gt;= DATE(2022,4,1), $D$13 &lt;= DATE(2022,6,30)), $C$13 * $E$13 * $F$13, 0)</f>
        <v/>
      </c>
      <c r="AW13" s="16">
        <f>IF(AND($D$13 &gt;= DATE(2022,7,1), $D$13 &lt;= DATE(2022,9,30)), $C$13 * $E$13 * $F$13, 0)</f>
        <v/>
      </c>
      <c r="AX13" s="16">
        <f>IF(AND($D$13 &gt;= DATE(2022,10,1), $D$13 &lt;= DATE(2022,12,31)), $C$13 * $E$13 * $F$13, 0)</f>
        <v/>
      </c>
      <c r="AY13" s="16">
        <f>IF(AND($D$13 &gt;= DATE(2023,1,1), $D$13 &lt;= DATE(2023,3,31)), $C$13 * $E$13 * $F$13, 0)</f>
        <v/>
      </c>
      <c r="AZ13" s="16">
        <f>IF(AND($D$13 &gt;= DATE(2023,4,1), $D$13 &lt;= DATE(2023,6,30)), $C$13 * $E$13 * $F$13, 0)</f>
        <v/>
      </c>
      <c r="BA13" s="16">
        <f>IF(AND($D$13 &gt;= DATE(2023,7,1), $D$13 &lt;= DATE(2023,9,30)), $C$13 * $E$13 * $F$13, 0)</f>
        <v/>
      </c>
      <c r="BB13" s="16">
        <f>IF(AND($D$13 &gt;= DATE(2023,10,1), $D$13 &lt;= DATE(2023,12,31)), $C$13 * $E$13 * $F$13, 0)</f>
        <v/>
      </c>
      <c r="BC13" s="16">
        <f>IF(AND($D$13 &gt;= DATE(2024,1,1), $D$13 &lt;= DATE(2024,3,31)), $C$13 * $E$13 * $F$13, 0)</f>
        <v/>
      </c>
      <c r="BD13" s="16">
        <f>IF(AND($D$13 &gt;= DATE(2024,4,1), $D$13 &lt;= DATE(2024,6,30)), $C$13 * $E$13 * $F$13, 0)</f>
        <v/>
      </c>
      <c r="BE13" s="16">
        <f>IF(AND($D$13 &gt;= DATE(2024,7,1), $D$13 &lt;= DATE(2024,9,30)), $C$13 * $E$13 * $F$13, 0)</f>
        <v/>
      </c>
      <c r="BF13" s="16">
        <f>IF(AND($D$13 &gt;= DATE(2024,10,1), $D$13 &lt;= DATE(2024,12,31)), $C$13 * $E$13 * $F$13, 0)</f>
        <v/>
      </c>
      <c r="BG13" s="16">
        <f>IF(AND($D$13 &gt;= DATE(2025,1,1), $D$13 &lt;= DATE(2025,3,31)), $C$13 * $E$13 * $F$13, 0)</f>
        <v/>
      </c>
      <c r="BH13" s="16">
        <f>IF(AND($D$13 &gt;= DATE(2025,4,1), $D$13 &lt;= DATE(2025,6,30)), $C$13 * $E$13 * $F$13, 0)</f>
        <v/>
      </c>
      <c r="BI13" s="16">
        <f>IF(AND($D$13 &gt;= DATE(2025,7,1), $D$13 &lt;= DATE(2025,9,30)), $C$13 * $E$13 * $F$13, 0)</f>
        <v/>
      </c>
      <c r="BJ13" s="16">
        <f>IF(AND($D$13 &gt;= DATE(2025,10,1), $D$13 &lt;= DATE(2025,12,31)), $C$13 * $E$13 * $F$13, 0)</f>
        <v/>
      </c>
      <c r="BK13" s="16">
        <f>IF(AND($D$13 &gt;= DATE(2026,1,1), $D$13 &lt;= DATE(2026,3,31)), $C$13 * $E$13 * $F$13, 0)</f>
        <v/>
      </c>
      <c r="BL13" s="16">
        <f>IF(AND($D$13 &gt;= DATE(2026,4,1), $D$13 &lt;= DATE(2026,6,30)), $C$13 * $E$13 * $F$13, 0)</f>
        <v/>
      </c>
      <c r="BM13" s="16">
        <f>IF(AND($D$13 &gt;= DATE(2026,7,1), $D$13 &lt;= DATE(2026,9,30)), $C$13 * $E$13 * $F$13, 0)</f>
        <v/>
      </c>
      <c r="BN13" s="16">
        <f>IF(AND($D$13 &gt;= DATE(2026,10,1), $D$13 &lt;= DATE(2026,12,31)), $C$13 * $E$13 * $F$13, 0)</f>
        <v/>
      </c>
      <c r="BO13" s="16">
        <f>IF(AND($D$13 &gt;= DATE(2027,1,1), $D$13 &lt;= DATE(2027,3,31)), $C$13 * $E$13 * $F$13, 0)</f>
        <v/>
      </c>
      <c r="BP13" s="16">
        <f>IF(AND($D$13 &gt;= DATE(2027,4,1), $D$13 &lt;= DATE(2027,6,30)), $C$13 * $E$13 * $F$13, 0)</f>
        <v/>
      </c>
      <c r="BQ13" s="16">
        <f>IF(AND($D$13 &gt;= DATE(2027,7,1), $D$13 &lt;= DATE(2027,9,30)), $C$13 * $E$13 * $F$13, 0)</f>
        <v/>
      </c>
      <c r="BR13" s="16">
        <f>IF(AND($D$13 &gt;= DATE(2027,10,1), $D$13 &lt;= DATE(2027,12,31)), $C$13 * $E$13 * $F$13, 0)</f>
        <v/>
      </c>
      <c r="BS13" s="16">
        <f>IF(AND($D$13 &gt;= DATE(2028,1,1), $D$13 &lt;= DATE(2028,3,31)), $C$13 * $E$13 * $F$13, 0)</f>
        <v/>
      </c>
      <c r="BT13" s="16">
        <f>IF(AND($D$13 &gt;= DATE(2028,4,1), $D$13 &lt;= DATE(2028,6,30)), $C$13 * $E$13 * $F$13, 0)</f>
        <v/>
      </c>
      <c r="BU13" s="16">
        <f>IF(AND($D$13 &gt;= DATE(2028,7,1), $D$13 &lt;= DATE(2028,9,30)), $C$13 * $E$13 * $F$13, 0)</f>
        <v/>
      </c>
      <c r="BV13" s="16">
        <f>IF(AND($D$13 &gt;= DATE(2028,10,1), $D$13 &lt;= DATE(2028,12,31)), $C$13 * $E$13 * $F$13, 0)</f>
        <v/>
      </c>
    </row>
    <row r="14">
      <c r="B14" t="inlineStr">
        <is>
          <t>Westgate &gt; Cordial Logistics &gt; Inspection Hardware</t>
        </is>
      </c>
      <c r="C14" s="16" t="n">
        <v>180000</v>
      </c>
      <c r="D14" s="18" t="n">
        <v>46174</v>
      </c>
      <c r="E14" s="16" t="n">
        <v>6</v>
      </c>
      <c r="F14" s="19" t="n">
        <v>1</v>
      </c>
      <c r="G14" s="18" t="n">
        <v>46204</v>
      </c>
      <c r="H14" s="18" t="n">
        <v>46357</v>
      </c>
      <c r="I14" s="16">
        <f>$C$14 * $E$14</f>
        <v/>
      </c>
      <c r="J14" s="20">
        <f>$C$14 * $E$14 * $F$14</f>
        <v/>
      </c>
      <c r="K14" s="16">
        <f>IF(($G$14&lt;=DATE(2021,3,31))*($H$14&gt;=DATE(2021,1,1)),$C$14 * $F$14 * MAX(0, MIN((YEAR($H$14)*12+MONTH($H$14)), (YEAR(DATE(2021,3,31))*12+MONTH(DATE(2021,3,31)))) - MAX((YEAR($G$14)*12+MONTH($G$14)), (YEAR(DATE(2021,1,1))*12+MONTH(DATE(2021,1,1)))) + 1),0)</f>
        <v/>
      </c>
      <c r="L14" s="16">
        <f>IF(($G$14&lt;=DATE(2021,6,30))*($H$14&gt;=DATE(2021,4,1)),$C$14 * $F$14 * MAX(0, MIN((YEAR($H$14)*12+MONTH($H$14)), (YEAR(DATE(2021,6,30))*12+MONTH(DATE(2021,6,30)))) - MAX((YEAR($G$14)*12+MONTH($G$14)), (YEAR(DATE(2021,4,1))*12+MONTH(DATE(2021,4,1)))) + 1),0)</f>
        <v/>
      </c>
      <c r="M14" s="16">
        <f>IF(($G$14&lt;=DATE(2021,9,30))*($H$14&gt;=DATE(2021,7,1)),$C$14 * $F$14 * MAX(0, MIN((YEAR($H$14)*12+MONTH($H$14)), (YEAR(DATE(2021,9,30))*12+MONTH(DATE(2021,9,30)))) - MAX((YEAR($G$14)*12+MONTH($G$14)), (YEAR(DATE(2021,7,1))*12+MONTH(DATE(2021,7,1)))) + 1),0)</f>
        <v/>
      </c>
      <c r="N14" s="16">
        <f>IF(($G$14&lt;=DATE(2021,12,31))*($H$14&gt;=DATE(2021,10,1)),$C$14 * $F$14 * MAX(0, MIN((YEAR($H$14)*12+MONTH($H$14)), (YEAR(DATE(2021,12,31))*12+MONTH(DATE(2021,12,31)))) - MAX((YEAR($G$14)*12+MONTH($G$14)), (YEAR(DATE(2021,10,1))*12+MONTH(DATE(2021,10,1)))) + 1),0)</f>
        <v/>
      </c>
      <c r="O14" s="16">
        <f>IF(($G$14&lt;=DATE(2022,3,31))*($H$14&gt;=DATE(2022,1,1)),$C$14 * $F$14 * MAX(0, MIN((YEAR($H$14)*12+MONTH($H$14)), (YEAR(DATE(2022,3,31))*12+MONTH(DATE(2022,3,31)))) - MAX((YEAR($G$14)*12+MONTH($G$14)), (YEAR(DATE(2022,1,1))*12+MONTH(DATE(2022,1,1)))) + 1),0)</f>
        <v/>
      </c>
      <c r="P14" s="16">
        <f>IF(($G$14&lt;=DATE(2022,6,30))*($H$14&gt;=DATE(2022,4,1)),$C$14 * $F$14 * MAX(0, MIN((YEAR($H$14)*12+MONTH($H$14)), (YEAR(DATE(2022,6,30))*12+MONTH(DATE(2022,6,30)))) - MAX((YEAR($G$14)*12+MONTH($G$14)), (YEAR(DATE(2022,4,1))*12+MONTH(DATE(2022,4,1)))) + 1),0)</f>
        <v/>
      </c>
      <c r="Q14" s="16">
        <f>IF(($G$14&lt;=DATE(2022,9,30))*($H$14&gt;=DATE(2022,7,1)),$C$14 * $F$14 * MAX(0, MIN((YEAR($H$14)*12+MONTH($H$14)), (YEAR(DATE(2022,9,30))*12+MONTH(DATE(2022,9,30)))) - MAX((YEAR($G$14)*12+MONTH($G$14)), (YEAR(DATE(2022,7,1))*12+MONTH(DATE(2022,7,1)))) + 1),0)</f>
        <v/>
      </c>
      <c r="R14" s="16">
        <f>IF(($G$14&lt;=DATE(2022,12,31))*($H$14&gt;=DATE(2022,10,1)),$C$14 * $F$14 * MAX(0, MIN((YEAR($H$14)*12+MONTH($H$14)), (YEAR(DATE(2022,12,31))*12+MONTH(DATE(2022,12,31)))) - MAX((YEAR($G$14)*12+MONTH($G$14)), (YEAR(DATE(2022,10,1))*12+MONTH(DATE(2022,10,1)))) + 1),0)</f>
        <v/>
      </c>
      <c r="S14" s="16">
        <f>IF(($G$14&lt;=DATE(2023,3,31))*($H$14&gt;=DATE(2023,1,1)),$C$14 * $F$14 * MAX(0, MIN((YEAR($H$14)*12+MONTH($H$14)), (YEAR(DATE(2023,3,31))*12+MONTH(DATE(2023,3,31)))) - MAX((YEAR($G$14)*12+MONTH($G$14)), (YEAR(DATE(2023,1,1))*12+MONTH(DATE(2023,1,1)))) + 1),0)</f>
        <v/>
      </c>
      <c r="T14" s="16">
        <f>IF(($G$14&lt;=DATE(2023,6,30))*($H$14&gt;=DATE(2023,4,1)),$C$14 * $F$14 * MAX(0, MIN((YEAR($H$14)*12+MONTH($H$14)), (YEAR(DATE(2023,6,30))*12+MONTH(DATE(2023,6,30)))) - MAX((YEAR($G$14)*12+MONTH($G$14)), (YEAR(DATE(2023,4,1))*12+MONTH(DATE(2023,4,1)))) + 1),0)</f>
        <v/>
      </c>
      <c r="U14" s="16">
        <f>IF(($G$14&lt;=DATE(2023,9,30))*($H$14&gt;=DATE(2023,7,1)),$C$14 * $F$14 * MAX(0, MIN((YEAR($H$14)*12+MONTH($H$14)), (YEAR(DATE(2023,9,30))*12+MONTH(DATE(2023,9,30)))) - MAX((YEAR($G$14)*12+MONTH($G$14)), (YEAR(DATE(2023,7,1))*12+MONTH(DATE(2023,7,1)))) + 1),0)</f>
        <v/>
      </c>
      <c r="V14" s="16">
        <f>IF(($G$14&lt;=DATE(2023,12,31))*($H$14&gt;=DATE(2023,10,1)),$C$14 * $F$14 * MAX(0, MIN((YEAR($H$14)*12+MONTH($H$14)), (YEAR(DATE(2023,12,31))*12+MONTH(DATE(2023,12,31)))) - MAX((YEAR($G$14)*12+MONTH($G$14)), (YEAR(DATE(2023,10,1))*12+MONTH(DATE(2023,10,1)))) + 1),0)</f>
        <v/>
      </c>
      <c r="W14" s="16">
        <f>IF(($G$14&lt;=DATE(2024,3,31))*($H$14&gt;=DATE(2024,1,1)),$C$14 * $F$14 * MAX(0, MIN((YEAR($H$14)*12+MONTH($H$14)), (YEAR(DATE(2024,3,31))*12+MONTH(DATE(2024,3,31)))) - MAX((YEAR($G$14)*12+MONTH($G$14)), (YEAR(DATE(2024,1,1))*12+MONTH(DATE(2024,1,1)))) + 1),0)</f>
        <v/>
      </c>
      <c r="X14" s="16">
        <f>IF(($G$14&lt;=DATE(2024,6,30))*($H$14&gt;=DATE(2024,4,1)),$C$14 * $F$14 * MAX(0, MIN((YEAR($H$14)*12+MONTH($H$14)), (YEAR(DATE(2024,6,30))*12+MONTH(DATE(2024,6,30)))) - MAX((YEAR($G$14)*12+MONTH($G$14)), (YEAR(DATE(2024,4,1))*12+MONTH(DATE(2024,4,1)))) + 1),0)</f>
        <v/>
      </c>
      <c r="Y14" s="16">
        <f>IF(($G$14&lt;=DATE(2024,9,30))*($H$14&gt;=DATE(2024,7,1)),$C$14 * $F$14 * MAX(0, MIN((YEAR($H$14)*12+MONTH($H$14)), (YEAR(DATE(2024,9,30))*12+MONTH(DATE(2024,9,30)))) - MAX((YEAR($G$14)*12+MONTH($G$14)), (YEAR(DATE(2024,7,1))*12+MONTH(DATE(2024,7,1)))) + 1),0)</f>
        <v/>
      </c>
      <c r="Z14" s="16">
        <f>IF(($G$14&lt;=DATE(2024,12,31))*($H$14&gt;=DATE(2024,10,1)),$C$14 * $F$14 * MAX(0, MIN((YEAR($H$14)*12+MONTH($H$14)), (YEAR(DATE(2024,12,31))*12+MONTH(DATE(2024,12,31)))) - MAX((YEAR($G$14)*12+MONTH($G$14)), (YEAR(DATE(2024,10,1))*12+MONTH(DATE(2024,10,1)))) + 1),0)</f>
        <v/>
      </c>
      <c r="AA14" s="16">
        <f>IF(($G$14&lt;=DATE(2025,3,31))*($H$14&gt;=DATE(2025,1,1)),$C$14 * $F$14 * MAX(0, MIN((YEAR($H$14)*12+MONTH($H$14)), (YEAR(DATE(2025,3,31))*12+MONTH(DATE(2025,3,31)))) - MAX((YEAR($G$14)*12+MONTH($G$14)), (YEAR(DATE(2025,1,1))*12+MONTH(DATE(2025,1,1)))) + 1),0)</f>
        <v/>
      </c>
      <c r="AB14" s="16">
        <f>IF(($G$14&lt;=DATE(2025,6,30))*($H$14&gt;=DATE(2025,4,1)),$C$14 * $F$14 * MAX(0, MIN((YEAR($H$14)*12+MONTH($H$14)), (YEAR(DATE(2025,6,30))*12+MONTH(DATE(2025,6,30)))) - MAX((YEAR($G$14)*12+MONTH($G$14)), (YEAR(DATE(2025,4,1))*12+MONTH(DATE(2025,4,1)))) + 1),0)</f>
        <v/>
      </c>
      <c r="AC14" s="16">
        <f>IF(($G$14&lt;=DATE(2025,9,30))*($H$14&gt;=DATE(2025,7,1)),$C$14 * $F$14 * MAX(0, MIN((YEAR($H$14)*12+MONTH($H$14)), (YEAR(DATE(2025,9,30))*12+MONTH(DATE(2025,9,30)))) - MAX((YEAR($G$14)*12+MONTH($G$14)), (YEAR(DATE(2025,7,1))*12+MONTH(DATE(2025,7,1)))) + 1),0)</f>
        <v/>
      </c>
      <c r="AD14" s="16">
        <f>IF(($G$14&lt;=DATE(2025,12,31))*($H$14&gt;=DATE(2025,10,1)),$C$14 * $F$14 * MAX(0, MIN((YEAR($H$14)*12+MONTH($H$14)), (YEAR(DATE(2025,12,31))*12+MONTH(DATE(2025,12,31)))) - MAX((YEAR($G$14)*12+MONTH($G$14)), (YEAR(DATE(2025,10,1))*12+MONTH(DATE(2025,10,1)))) + 1),0)</f>
        <v/>
      </c>
      <c r="AE14" s="16">
        <f>IF(($G$14&lt;=DATE(2026,3,31))*($H$14&gt;=DATE(2026,1,1)),$C$14 * $F$14 * MAX(0, MIN((YEAR($H$14)*12+MONTH($H$14)), (YEAR(DATE(2026,3,31))*12+MONTH(DATE(2026,3,31)))) - MAX((YEAR($G$14)*12+MONTH($G$14)), (YEAR(DATE(2026,1,1))*12+MONTH(DATE(2026,1,1)))) + 1),0)</f>
        <v/>
      </c>
      <c r="AF14" s="16">
        <f>IF(($G$14&lt;=DATE(2026,6,30))*($H$14&gt;=DATE(2026,4,1)),$C$14 * $F$14 * MAX(0, MIN((YEAR($H$14)*12+MONTH($H$14)), (YEAR(DATE(2026,6,30))*12+MONTH(DATE(2026,6,30)))) - MAX((YEAR($G$14)*12+MONTH($G$14)), (YEAR(DATE(2026,4,1))*12+MONTH(DATE(2026,4,1)))) + 1),0)</f>
        <v/>
      </c>
      <c r="AG14" s="16">
        <f>IF(($G$14&lt;=DATE(2026,9,30))*($H$14&gt;=DATE(2026,7,1)),$C$14 * $F$14 * MAX(0, MIN((YEAR($H$14)*12+MONTH($H$14)), (YEAR(DATE(2026,9,30))*12+MONTH(DATE(2026,9,30)))) - MAX((YEAR($G$14)*12+MONTH($G$14)), (YEAR(DATE(2026,7,1))*12+MONTH(DATE(2026,7,1)))) + 1),0)</f>
        <v/>
      </c>
      <c r="AH14" s="16">
        <f>IF(($G$14&lt;=DATE(2026,12,31))*($H$14&gt;=DATE(2026,10,1)),$C$14 * $F$14 * MAX(0, MIN((YEAR($H$14)*12+MONTH($H$14)), (YEAR(DATE(2026,12,31))*12+MONTH(DATE(2026,12,31)))) - MAX((YEAR($G$14)*12+MONTH($G$14)), (YEAR(DATE(2026,10,1))*12+MONTH(DATE(2026,10,1)))) + 1),0)</f>
        <v/>
      </c>
      <c r="AI14" s="16">
        <f>IF(($G$14&lt;=DATE(2027,3,31))*($H$14&gt;=DATE(2027,1,1)),$C$14 * $F$14 * MAX(0, MIN((YEAR($H$14)*12+MONTH($H$14)), (YEAR(DATE(2027,3,31))*12+MONTH(DATE(2027,3,31)))) - MAX((YEAR($G$14)*12+MONTH($G$14)), (YEAR(DATE(2027,1,1))*12+MONTH(DATE(2027,1,1)))) + 1),0)</f>
        <v/>
      </c>
      <c r="AJ14" s="16">
        <f>IF(($G$14&lt;=DATE(2027,6,30))*($H$14&gt;=DATE(2027,4,1)),$C$14 * $F$14 * MAX(0, MIN((YEAR($H$14)*12+MONTH($H$14)), (YEAR(DATE(2027,6,30))*12+MONTH(DATE(2027,6,30)))) - MAX((YEAR($G$14)*12+MONTH($G$14)), (YEAR(DATE(2027,4,1))*12+MONTH(DATE(2027,4,1)))) + 1),0)</f>
        <v/>
      </c>
      <c r="AK14" s="16">
        <f>IF(($G$14&lt;=DATE(2027,9,30))*($H$14&gt;=DATE(2027,7,1)),$C$14 * $F$14 * MAX(0, MIN((YEAR($H$14)*12+MONTH($H$14)), (YEAR(DATE(2027,9,30))*12+MONTH(DATE(2027,9,30)))) - MAX((YEAR($G$14)*12+MONTH($G$14)), (YEAR(DATE(2027,7,1))*12+MONTH(DATE(2027,7,1)))) + 1),0)</f>
        <v/>
      </c>
      <c r="AL14" s="16">
        <f>IF(($G$14&lt;=DATE(2027,12,31))*($H$14&gt;=DATE(2027,10,1)),$C$14 * $F$14 * MAX(0, MIN((YEAR($H$14)*12+MONTH($H$14)), (YEAR(DATE(2027,12,31))*12+MONTH(DATE(2027,12,31)))) - MAX((YEAR($G$14)*12+MONTH($G$14)), (YEAR(DATE(2027,10,1))*12+MONTH(DATE(2027,10,1)))) + 1),0)</f>
        <v/>
      </c>
      <c r="AM14" s="16">
        <f>IF(($G$14&lt;=DATE(2028,3,31))*($H$14&gt;=DATE(2028,1,1)),$C$14 * $F$14 * MAX(0, MIN((YEAR($H$14)*12+MONTH($H$14)), (YEAR(DATE(2028,3,31))*12+MONTH(DATE(2028,3,31)))) - MAX((YEAR($G$14)*12+MONTH($G$14)), (YEAR(DATE(2028,1,1))*12+MONTH(DATE(2028,1,1)))) + 1),0)</f>
        <v/>
      </c>
      <c r="AN14" s="16">
        <f>IF(($G$14&lt;=DATE(2028,6,30))*($H$14&gt;=DATE(2028,4,1)),$C$14 * $F$14 * MAX(0, MIN((YEAR($H$14)*12+MONTH($H$14)), (YEAR(DATE(2028,6,30))*12+MONTH(DATE(2028,6,30)))) - MAX((YEAR($G$14)*12+MONTH($G$14)), (YEAR(DATE(2028,4,1))*12+MONTH(DATE(2028,4,1)))) + 1),0)</f>
        <v/>
      </c>
      <c r="AO14" s="16">
        <f>IF(($G$14&lt;=DATE(2028,9,30))*($H$14&gt;=DATE(2028,7,1)),$C$14 * $F$14 * MAX(0, MIN((YEAR($H$14)*12+MONTH($H$14)), (YEAR(DATE(2028,9,30))*12+MONTH(DATE(2028,9,30)))) - MAX((YEAR($G$14)*12+MONTH($G$14)), (YEAR(DATE(2028,7,1))*12+MONTH(DATE(2028,7,1)))) + 1),0)</f>
        <v/>
      </c>
      <c r="AP14" s="16">
        <f>IF(($G$14&lt;=DATE(2028,12,31))*($H$14&gt;=DATE(2028,10,1)),$C$14 * $F$14 * MAX(0, MIN((YEAR($H$14)*12+MONTH($H$14)), (YEAR(DATE(2028,12,31))*12+MONTH(DATE(2028,12,31)))) - MAX((YEAR($G$14)*12+MONTH($G$14)), (YEAR(DATE(2028,10,1))*12+MONTH(DATE(2028,10,1)))) + 1),0)</f>
        <v/>
      </c>
      <c r="AQ14" s="16">
        <f>IF(AND($D$14 &gt;= DATE(2021,1,1), $D$14 &lt;= DATE(2021,3,31)), $C$14 * $E$14 * $F$14, 0)</f>
        <v/>
      </c>
      <c r="AR14" s="16">
        <f>IF(AND($D$14 &gt;= DATE(2021,4,1), $D$14 &lt;= DATE(2021,6,30)), $C$14 * $E$14 * $F$14, 0)</f>
        <v/>
      </c>
      <c r="AS14" s="16">
        <f>IF(AND($D$14 &gt;= DATE(2021,7,1), $D$14 &lt;= DATE(2021,9,30)), $C$14 * $E$14 * $F$14, 0)</f>
        <v/>
      </c>
      <c r="AT14" s="16">
        <f>IF(AND($D$14 &gt;= DATE(2021,10,1), $D$14 &lt;= DATE(2021,12,31)), $C$14 * $E$14 * $F$14, 0)</f>
        <v/>
      </c>
      <c r="AU14" s="16">
        <f>IF(AND($D$14 &gt;= DATE(2022,1,1), $D$14 &lt;= DATE(2022,3,31)), $C$14 * $E$14 * $F$14, 0)</f>
        <v/>
      </c>
      <c r="AV14" s="16">
        <f>IF(AND($D$14 &gt;= DATE(2022,4,1), $D$14 &lt;= DATE(2022,6,30)), $C$14 * $E$14 * $F$14, 0)</f>
        <v/>
      </c>
      <c r="AW14" s="16">
        <f>IF(AND($D$14 &gt;= DATE(2022,7,1), $D$14 &lt;= DATE(2022,9,30)), $C$14 * $E$14 * $F$14, 0)</f>
        <v/>
      </c>
      <c r="AX14" s="16">
        <f>IF(AND($D$14 &gt;= DATE(2022,10,1), $D$14 &lt;= DATE(2022,12,31)), $C$14 * $E$14 * $F$14, 0)</f>
        <v/>
      </c>
      <c r="AY14" s="16">
        <f>IF(AND($D$14 &gt;= DATE(2023,1,1), $D$14 &lt;= DATE(2023,3,31)), $C$14 * $E$14 * $F$14, 0)</f>
        <v/>
      </c>
      <c r="AZ14" s="16">
        <f>IF(AND($D$14 &gt;= DATE(2023,4,1), $D$14 &lt;= DATE(2023,6,30)), $C$14 * $E$14 * $F$14, 0)</f>
        <v/>
      </c>
      <c r="BA14" s="16">
        <f>IF(AND($D$14 &gt;= DATE(2023,7,1), $D$14 &lt;= DATE(2023,9,30)), $C$14 * $E$14 * $F$14, 0)</f>
        <v/>
      </c>
      <c r="BB14" s="16">
        <f>IF(AND($D$14 &gt;= DATE(2023,10,1), $D$14 &lt;= DATE(2023,12,31)), $C$14 * $E$14 * $F$14, 0)</f>
        <v/>
      </c>
      <c r="BC14" s="16">
        <f>IF(AND($D$14 &gt;= DATE(2024,1,1), $D$14 &lt;= DATE(2024,3,31)), $C$14 * $E$14 * $F$14, 0)</f>
        <v/>
      </c>
      <c r="BD14" s="16">
        <f>IF(AND($D$14 &gt;= DATE(2024,4,1), $D$14 &lt;= DATE(2024,6,30)), $C$14 * $E$14 * $F$14, 0)</f>
        <v/>
      </c>
      <c r="BE14" s="16">
        <f>IF(AND($D$14 &gt;= DATE(2024,7,1), $D$14 &lt;= DATE(2024,9,30)), $C$14 * $E$14 * $F$14, 0)</f>
        <v/>
      </c>
      <c r="BF14" s="16">
        <f>IF(AND($D$14 &gt;= DATE(2024,10,1), $D$14 &lt;= DATE(2024,12,31)), $C$14 * $E$14 * $F$14, 0)</f>
        <v/>
      </c>
      <c r="BG14" s="16">
        <f>IF(AND($D$14 &gt;= DATE(2025,1,1), $D$14 &lt;= DATE(2025,3,31)), $C$14 * $E$14 * $F$14, 0)</f>
        <v/>
      </c>
      <c r="BH14" s="16">
        <f>IF(AND($D$14 &gt;= DATE(2025,4,1), $D$14 &lt;= DATE(2025,6,30)), $C$14 * $E$14 * $F$14, 0)</f>
        <v/>
      </c>
      <c r="BI14" s="16">
        <f>IF(AND($D$14 &gt;= DATE(2025,7,1), $D$14 &lt;= DATE(2025,9,30)), $C$14 * $E$14 * $F$14, 0)</f>
        <v/>
      </c>
      <c r="BJ14" s="16">
        <f>IF(AND($D$14 &gt;= DATE(2025,10,1), $D$14 &lt;= DATE(2025,12,31)), $C$14 * $E$14 * $F$14, 0)</f>
        <v/>
      </c>
      <c r="BK14" s="16">
        <f>IF(AND($D$14 &gt;= DATE(2026,1,1), $D$14 &lt;= DATE(2026,3,31)), $C$14 * $E$14 * $F$14, 0)</f>
        <v/>
      </c>
      <c r="BL14" s="16">
        <f>IF(AND($D$14 &gt;= DATE(2026,4,1), $D$14 &lt;= DATE(2026,6,30)), $C$14 * $E$14 * $F$14, 0)</f>
        <v/>
      </c>
      <c r="BM14" s="16">
        <f>IF(AND($D$14 &gt;= DATE(2026,7,1), $D$14 &lt;= DATE(2026,9,30)), $C$14 * $E$14 * $F$14, 0)</f>
        <v/>
      </c>
      <c r="BN14" s="16">
        <f>IF(AND($D$14 &gt;= DATE(2026,10,1), $D$14 &lt;= DATE(2026,12,31)), $C$14 * $E$14 * $F$14, 0)</f>
        <v/>
      </c>
      <c r="BO14" s="16">
        <f>IF(AND($D$14 &gt;= DATE(2027,1,1), $D$14 &lt;= DATE(2027,3,31)), $C$14 * $E$14 * $F$14, 0)</f>
        <v/>
      </c>
      <c r="BP14" s="16">
        <f>IF(AND($D$14 &gt;= DATE(2027,4,1), $D$14 &lt;= DATE(2027,6,30)), $C$14 * $E$14 * $F$14, 0)</f>
        <v/>
      </c>
      <c r="BQ14" s="16">
        <f>IF(AND($D$14 &gt;= DATE(2027,7,1), $D$14 &lt;= DATE(2027,9,30)), $C$14 * $E$14 * $F$14, 0)</f>
        <v/>
      </c>
      <c r="BR14" s="16">
        <f>IF(AND($D$14 &gt;= DATE(2027,10,1), $D$14 &lt;= DATE(2027,12,31)), $C$14 * $E$14 * $F$14, 0)</f>
        <v/>
      </c>
      <c r="BS14" s="16">
        <f>IF(AND($D$14 &gt;= DATE(2028,1,1), $D$14 &lt;= DATE(2028,3,31)), $C$14 * $E$14 * $F$14, 0)</f>
        <v/>
      </c>
      <c r="BT14" s="16">
        <f>IF(AND($D$14 &gt;= DATE(2028,4,1), $D$14 &lt;= DATE(2028,6,30)), $C$14 * $E$14 * $F$14, 0)</f>
        <v/>
      </c>
      <c r="BU14" s="16">
        <f>IF(AND($D$14 &gt;= DATE(2028,7,1), $D$14 &lt;= DATE(2028,9,30)), $C$14 * $E$14 * $F$14, 0)</f>
        <v/>
      </c>
      <c r="BV14" s="16">
        <f>IF(AND($D$14 &gt;= DATE(2028,10,1), $D$14 &lt;= DATE(2028,12,31)), $C$14 * $E$14 * $F$14, 0)</f>
        <v/>
      </c>
    </row>
    <row r="15">
      <c r="B15" t="inlineStr">
        <is>
          <t>Northfield &gt; Lumen Aerospace &gt; Long-Lead Procurement</t>
        </is>
      </c>
      <c r="C15" s="16" t="n">
        <v>400000</v>
      </c>
      <c r="D15" s="18" t="n">
        <v>46174</v>
      </c>
      <c r="E15" s="16" t="n">
        <v>5</v>
      </c>
      <c r="F15" s="19" t="n">
        <v>1</v>
      </c>
      <c r="G15" s="18" t="n">
        <v>46204</v>
      </c>
      <c r="H15" s="18" t="n">
        <v>46327</v>
      </c>
      <c r="I15" s="16">
        <f>$C$15 * $E$15</f>
        <v/>
      </c>
      <c r="J15" s="20">
        <f>$C$15 * $E$15 * $F$15</f>
        <v/>
      </c>
      <c r="K15" s="16">
        <f>IF(($G$15&lt;=DATE(2021,3,31))*($H$15&gt;=DATE(2021,1,1)),$C$15 * $F$15 * MAX(0, MIN((YEAR($H$15)*12+MONTH($H$15)), (YEAR(DATE(2021,3,31))*12+MONTH(DATE(2021,3,31)))) - MAX((YEAR($G$15)*12+MONTH($G$15)), (YEAR(DATE(2021,1,1))*12+MONTH(DATE(2021,1,1)))) + 1),0)</f>
        <v/>
      </c>
      <c r="L15" s="16">
        <f>IF(($G$15&lt;=DATE(2021,6,30))*($H$15&gt;=DATE(2021,4,1)),$C$15 * $F$15 * MAX(0, MIN((YEAR($H$15)*12+MONTH($H$15)), (YEAR(DATE(2021,6,30))*12+MONTH(DATE(2021,6,30)))) - MAX((YEAR($G$15)*12+MONTH($G$15)), (YEAR(DATE(2021,4,1))*12+MONTH(DATE(2021,4,1)))) + 1),0)</f>
        <v/>
      </c>
      <c r="M15" s="16">
        <f>IF(($G$15&lt;=DATE(2021,9,30))*($H$15&gt;=DATE(2021,7,1)),$C$15 * $F$15 * MAX(0, MIN((YEAR($H$15)*12+MONTH($H$15)), (YEAR(DATE(2021,9,30))*12+MONTH(DATE(2021,9,30)))) - MAX((YEAR($G$15)*12+MONTH($G$15)), (YEAR(DATE(2021,7,1))*12+MONTH(DATE(2021,7,1)))) + 1),0)</f>
        <v/>
      </c>
      <c r="N15" s="16">
        <f>IF(($G$15&lt;=DATE(2021,12,31))*($H$15&gt;=DATE(2021,10,1)),$C$15 * $F$15 * MAX(0, MIN((YEAR($H$15)*12+MONTH($H$15)), (YEAR(DATE(2021,12,31))*12+MONTH(DATE(2021,12,31)))) - MAX((YEAR($G$15)*12+MONTH($G$15)), (YEAR(DATE(2021,10,1))*12+MONTH(DATE(2021,10,1)))) + 1),0)</f>
        <v/>
      </c>
      <c r="O15" s="16">
        <f>IF(($G$15&lt;=DATE(2022,3,31))*($H$15&gt;=DATE(2022,1,1)),$C$15 * $F$15 * MAX(0, MIN((YEAR($H$15)*12+MONTH($H$15)), (YEAR(DATE(2022,3,31))*12+MONTH(DATE(2022,3,31)))) - MAX((YEAR($G$15)*12+MONTH($G$15)), (YEAR(DATE(2022,1,1))*12+MONTH(DATE(2022,1,1)))) + 1),0)</f>
        <v/>
      </c>
      <c r="P15" s="16">
        <f>IF(($G$15&lt;=DATE(2022,6,30))*($H$15&gt;=DATE(2022,4,1)),$C$15 * $F$15 * MAX(0, MIN((YEAR($H$15)*12+MONTH($H$15)), (YEAR(DATE(2022,6,30))*12+MONTH(DATE(2022,6,30)))) - MAX((YEAR($G$15)*12+MONTH($G$15)), (YEAR(DATE(2022,4,1))*12+MONTH(DATE(2022,4,1)))) + 1),0)</f>
        <v/>
      </c>
      <c r="Q15" s="16">
        <f>IF(($G$15&lt;=DATE(2022,9,30))*($H$15&gt;=DATE(2022,7,1)),$C$15 * $F$15 * MAX(0, MIN((YEAR($H$15)*12+MONTH($H$15)), (YEAR(DATE(2022,9,30))*12+MONTH(DATE(2022,9,30)))) - MAX((YEAR($G$15)*12+MONTH($G$15)), (YEAR(DATE(2022,7,1))*12+MONTH(DATE(2022,7,1)))) + 1),0)</f>
        <v/>
      </c>
      <c r="R15" s="16">
        <f>IF(($G$15&lt;=DATE(2022,12,31))*($H$15&gt;=DATE(2022,10,1)),$C$15 * $F$15 * MAX(0, MIN((YEAR($H$15)*12+MONTH($H$15)), (YEAR(DATE(2022,12,31))*12+MONTH(DATE(2022,12,31)))) - MAX((YEAR($G$15)*12+MONTH($G$15)), (YEAR(DATE(2022,10,1))*12+MONTH(DATE(2022,10,1)))) + 1),0)</f>
        <v/>
      </c>
      <c r="S15" s="16">
        <f>IF(($G$15&lt;=DATE(2023,3,31))*($H$15&gt;=DATE(2023,1,1)),$C$15 * $F$15 * MAX(0, MIN((YEAR($H$15)*12+MONTH($H$15)), (YEAR(DATE(2023,3,31))*12+MONTH(DATE(2023,3,31)))) - MAX((YEAR($G$15)*12+MONTH($G$15)), (YEAR(DATE(2023,1,1))*12+MONTH(DATE(2023,1,1)))) + 1),0)</f>
        <v/>
      </c>
      <c r="T15" s="16">
        <f>IF(($G$15&lt;=DATE(2023,6,30))*($H$15&gt;=DATE(2023,4,1)),$C$15 * $F$15 * MAX(0, MIN((YEAR($H$15)*12+MONTH($H$15)), (YEAR(DATE(2023,6,30))*12+MONTH(DATE(2023,6,30)))) - MAX((YEAR($G$15)*12+MONTH($G$15)), (YEAR(DATE(2023,4,1))*12+MONTH(DATE(2023,4,1)))) + 1),0)</f>
        <v/>
      </c>
      <c r="U15" s="16">
        <f>IF(($G$15&lt;=DATE(2023,9,30))*($H$15&gt;=DATE(2023,7,1)),$C$15 * $F$15 * MAX(0, MIN((YEAR($H$15)*12+MONTH($H$15)), (YEAR(DATE(2023,9,30))*12+MONTH(DATE(2023,9,30)))) - MAX((YEAR($G$15)*12+MONTH($G$15)), (YEAR(DATE(2023,7,1))*12+MONTH(DATE(2023,7,1)))) + 1),0)</f>
        <v/>
      </c>
      <c r="V15" s="16">
        <f>IF(($G$15&lt;=DATE(2023,12,31))*($H$15&gt;=DATE(2023,10,1)),$C$15 * $F$15 * MAX(0, MIN((YEAR($H$15)*12+MONTH($H$15)), (YEAR(DATE(2023,12,31))*12+MONTH(DATE(2023,12,31)))) - MAX((YEAR($G$15)*12+MONTH($G$15)), (YEAR(DATE(2023,10,1))*12+MONTH(DATE(2023,10,1)))) + 1),0)</f>
        <v/>
      </c>
      <c r="W15" s="16">
        <f>IF(($G$15&lt;=DATE(2024,3,31))*($H$15&gt;=DATE(2024,1,1)),$C$15 * $F$15 * MAX(0, MIN((YEAR($H$15)*12+MONTH($H$15)), (YEAR(DATE(2024,3,31))*12+MONTH(DATE(2024,3,31)))) - MAX((YEAR($G$15)*12+MONTH($G$15)), (YEAR(DATE(2024,1,1))*12+MONTH(DATE(2024,1,1)))) + 1),0)</f>
        <v/>
      </c>
      <c r="X15" s="16">
        <f>IF(($G$15&lt;=DATE(2024,6,30))*($H$15&gt;=DATE(2024,4,1)),$C$15 * $F$15 * MAX(0, MIN((YEAR($H$15)*12+MONTH($H$15)), (YEAR(DATE(2024,6,30))*12+MONTH(DATE(2024,6,30)))) - MAX((YEAR($G$15)*12+MONTH($G$15)), (YEAR(DATE(2024,4,1))*12+MONTH(DATE(2024,4,1)))) + 1),0)</f>
        <v/>
      </c>
      <c r="Y15" s="16">
        <f>IF(($G$15&lt;=DATE(2024,9,30))*($H$15&gt;=DATE(2024,7,1)),$C$15 * $F$15 * MAX(0, MIN((YEAR($H$15)*12+MONTH($H$15)), (YEAR(DATE(2024,9,30))*12+MONTH(DATE(2024,9,30)))) - MAX((YEAR($G$15)*12+MONTH($G$15)), (YEAR(DATE(2024,7,1))*12+MONTH(DATE(2024,7,1)))) + 1),0)</f>
        <v/>
      </c>
      <c r="Z15" s="16">
        <f>IF(($G$15&lt;=DATE(2024,12,31))*($H$15&gt;=DATE(2024,10,1)),$C$15 * $F$15 * MAX(0, MIN((YEAR($H$15)*12+MONTH($H$15)), (YEAR(DATE(2024,12,31))*12+MONTH(DATE(2024,12,31)))) - MAX((YEAR($G$15)*12+MONTH($G$15)), (YEAR(DATE(2024,10,1))*12+MONTH(DATE(2024,10,1)))) + 1),0)</f>
        <v/>
      </c>
      <c r="AA15" s="16">
        <f>IF(($G$15&lt;=DATE(2025,3,31))*($H$15&gt;=DATE(2025,1,1)),$C$15 * $F$15 * MAX(0, MIN((YEAR($H$15)*12+MONTH($H$15)), (YEAR(DATE(2025,3,31))*12+MONTH(DATE(2025,3,31)))) - MAX((YEAR($G$15)*12+MONTH($G$15)), (YEAR(DATE(2025,1,1))*12+MONTH(DATE(2025,1,1)))) + 1),0)</f>
        <v/>
      </c>
      <c r="AB15" s="16">
        <f>IF(($G$15&lt;=DATE(2025,6,30))*($H$15&gt;=DATE(2025,4,1)),$C$15 * $F$15 * MAX(0, MIN((YEAR($H$15)*12+MONTH($H$15)), (YEAR(DATE(2025,6,30))*12+MONTH(DATE(2025,6,30)))) - MAX((YEAR($G$15)*12+MONTH($G$15)), (YEAR(DATE(2025,4,1))*12+MONTH(DATE(2025,4,1)))) + 1),0)</f>
        <v/>
      </c>
      <c r="AC15" s="16">
        <f>IF(($G$15&lt;=DATE(2025,9,30))*($H$15&gt;=DATE(2025,7,1)),$C$15 * $F$15 * MAX(0, MIN((YEAR($H$15)*12+MONTH($H$15)), (YEAR(DATE(2025,9,30))*12+MONTH(DATE(2025,9,30)))) - MAX((YEAR($G$15)*12+MONTH($G$15)), (YEAR(DATE(2025,7,1))*12+MONTH(DATE(2025,7,1)))) + 1),0)</f>
        <v/>
      </c>
      <c r="AD15" s="16">
        <f>IF(($G$15&lt;=DATE(2025,12,31))*($H$15&gt;=DATE(2025,10,1)),$C$15 * $F$15 * MAX(0, MIN((YEAR($H$15)*12+MONTH($H$15)), (YEAR(DATE(2025,12,31))*12+MONTH(DATE(2025,12,31)))) - MAX((YEAR($G$15)*12+MONTH($G$15)), (YEAR(DATE(2025,10,1))*12+MONTH(DATE(2025,10,1)))) + 1),0)</f>
        <v/>
      </c>
      <c r="AE15" s="16">
        <f>IF(($G$15&lt;=DATE(2026,3,31))*($H$15&gt;=DATE(2026,1,1)),$C$15 * $F$15 * MAX(0, MIN((YEAR($H$15)*12+MONTH($H$15)), (YEAR(DATE(2026,3,31))*12+MONTH(DATE(2026,3,31)))) - MAX((YEAR($G$15)*12+MONTH($G$15)), (YEAR(DATE(2026,1,1))*12+MONTH(DATE(2026,1,1)))) + 1),0)</f>
        <v/>
      </c>
      <c r="AF15" s="16">
        <f>IF(($G$15&lt;=DATE(2026,6,30))*($H$15&gt;=DATE(2026,4,1)),$C$15 * $F$15 * MAX(0, MIN((YEAR($H$15)*12+MONTH($H$15)), (YEAR(DATE(2026,6,30))*12+MONTH(DATE(2026,6,30)))) - MAX((YEAR($G$15)*12+MONTH($G$15)), (YEAR(DATE(2026,4,1))*12+MONTH(DATE(2026,4,1)))) + 1),0)</f>
        <v/>
      </c>
      <c r="AG15" s="16">
        <f>IF(($G$15&lt;=DATE(2026,9,30))*($H$15&gt;=DATE(2026,7,1)),$C$15 * $F$15 * MAX(0, MIN((YEAR($H$15)*12+MONTH($H$15)), (YEAR(DATE(2026,9,30))*12+MONTH(DATE(2026,9,30)))) - MAX((YEAR($G$15)*12+MONTH($G$15)), (YEAR(DATE(2026,7,1))*12+MONTH(DATE(2026,7,1)))) + 1),0)</f>
        <v/>
      </c>
      <c r="AH15" s="16">
        <f>IF(($G$15&lt;=DATE(2026,12,31))*($H$15&gt;=DATE(2026,10,1)),$C$15 * $F$15 * MAX(0, MIN((YEAR($H$15)*12+MONTH($H$15)), (YEAR(DATE(2026,12,31))*12+MONTH(DATE(2026,12,31)))) - MAX((YEAR($G$15)*12+MONTH($G$15)), (YEAR(DATE(2026,10,1))*12+MONTH(DATE(2026,10,1)))) + 1),0)</f>
        <v/>
      </c>
      <c r="AI15" s="16">
        <f>IF(($G$15&lt;=DATE(2027,3,31))*($H$15&gt;=DATE(2027,1,1)),$C$15 * $F$15 * MAX(0, MIN((YEAR($H$15)*12+MONTH($H$15)), (YEAR(DATE(2027,3,31))*12+MONTH(DATE(2027,3,31)))) - MAX((YEAR($G$15)*12+MONTH($G$15)), (YEAR(DATE(2027,1,1))*12+MONTH(DATE(2027,1,1)))) + 1),0)</f>
        <v/>
      </c>
      <c r="AJ15" s="16">
        <f>IF(($G$15&lt;=DATE(2027,6,30))*($H$15&gt;=DATE(2027,4,1)),$C$15 * $F$15 * MAX(0, MIN((YEAR($H$15)*12+MONTH($H$15)), (YEAR(DATE(2027,6,30))*12+MONTH(DATE(2027,6,30)))) - MAX((YEAR($G$15)*12+MONTH($G$15)), (YEAR(DATE(2027,4,1))*12+MONTH(DATE(2027,4,1)))) + 1),0)</f>
        <v/>
      </c>
      <c r="AK15" s="16">
        <f>IF(($G$15&lt;=DATE(2027,9,30))*($H$15&gt;=DATE(2027,7,1)),$C$15 * $F$15 * MAX(0, MIN((YEAR($H$15)*12+MONTH($H$15)), (YEAR(DATE(2027,9,30))*12+MONTH(DATE(2027,9,30)))) - MAX((YEAR($G$15)*12+MONTH($G$15)), (YEAR(DATE(2027,7,1))*12+MONTH(DATE(2027,7,1)))) + 1),0)</f>
        <v/>
      </c>
      <c r="AL15" s="16">
        <f>IF(($G$15&lt;=DATE(2027,12,31))*($H$15&gt;=DATE(2027,10,1)),$C$15 * $F$15 * MAX(0, MIN((YEAR($H$15)*12+MONTH($H$15)), (YEAR(DATE(2027,12,31))*12+MONTH(DATE(2027,12,31)))) - MAX((YEAR($G$15)*12+MONTH($G$15)), (YEAR(DATE(2027,10,1))*12+MONTH(DATE(2027,10,1)))) + 1),0)</f>
        <v/>
      </c>
      <c r="AM15" s="16">
        <f>IF(($G$15&lt;=DATE(2028,3,31))*($H$15&gt;=DATE(2028,1,1)),$C$15 * $F$15 * MAX(0, MIN((YEAR($H$15)*12+MONTH($H$15)), (YEAR(DATE(2028,3,31))*12+MONTH(DATE(2028,3,31)))) - MAX((YEAR($G$15)*12+MONTH($G$15)), (YEAR(DATE(2028,1,1))*12+MONTH(DATE(2028,1,1)))) + 1),0)</f>
        <v/>
      </c>
      <c r="AN15" s="16">
        <f>IF(($G$15&lt;=DATE(2028,6,30))*($H$15&gt;=DATE(2028,4,1)),$C$15 * $F$15 * MAX(0, MIN((YEAR($H$15)*12+MONTH($H$15)), (YEAR(DATE(2028,6,30))*12+MONTH(DATE(2028,6,30)))) - MAX((YEAR($G$15)*12+MONTH($G$15)), (YEAR(DATE(2028,4,1))*12+MONTH(DATE(2028,4,1)))) + 1),0)</f>
        <v/>
      </c>
      <c r="AO15" s="16">
        <f>IF(($G$15&lt;=DATE(2028,9,30))*($H$15&gt;=DATE(2028,7,1)),$C$15 * $F$15 * MAX(0, MIN((YEAR($H$15)*12+MONTH($H$15)), (YEAR(DATE(2028,9,30))*12+MONTH(DATE(2028,9,30)))) - MAX((YEAR($G$15)*12+MONTH($G$15)), (YEAR(DATE(2028,7,1))*12+MONTH(DATE(2028,7,1)))) + 1),0)</f>
        <v/>
      </c>
      <c r="AP15" s="16">
        <f>IF(($G$15&lt;=DATE(2028,12,31))*($H$15&gt;=DATE(2028,10,1)),$C$15 * $F$15 * MAX(0, MIN((YEAR($H$15)*12+MONTH($H$15)), (YEAR(DATE(2028,12,31))*12+MONTH(DATE(2028,12,31)))) - MAX((YEAR($G$15)*12+MONTH($G$15)), (YEAR(DATE(2028,10,1))*12+MONTH(DATE(2028,10,1)))) + 1),0)</f>
        <v/>
      </c>
      <c r="AQ15" s="16">
        <f>IF(AND($D$15 &gt;= DATE(2021,1,1), $D$15 &lt;= DATE(2021,3,31)), $C$15 * $E$15 * $F$15, 0)</f>
        <v/>
      </c>
      <c r="AR15" s="16">
        <f>IF(AND($D$15 &gt;= DATE(2021,4,1), $D$15 &lt;= DATE(2021,6,30)), $C$15 * $E$15 * $F$15, 0)</f>
        <v/>
      </c>
      <c r="AS15" s="16">
        <f>IF(AND($D$15 &gt;= DATE(2021,7,1), $D$15 &lt;= DATE(2021,9,30)), $C$15 * $E$15 * $F$15, 0)</f>
        <v/>
      </c>
      <c r="AT15" s="16">
        <f>IF(AND($D$15 &gt;= DATE(2021,10,1), $D$15 &lt;= DATE(2021,12,31)), $C$15 * $E$15 * $F$15, 0)</f>
        <v/>
      </c>
      <c r="AU15" s="16">
        <f>IF(AND($D$15 &gt;= DATE(2022,1,1), $D$15 &lt;= DATE(2022,3,31)), $C$15 * $E$15 * $F$15, 0)</f>
        <v/>
      </c>
      <c r="AV15" s="16">
        <f>IF(AND($D$15 &gt;= DATE(2022,4,1), $D$15 &lt;= DATE(2022,6,30)), $C$15 * $E$15 * $F$15, 0)</f>
        <v/>
      </c>
      <c r="AW15" s="16">
        <f>IF(AND($D$15 &gt;= DATE(2022,7,1), $D$15 &lt;= DATE(2022,9,30)), $C$15 * $E$15 * $F$15, 0)</f>
        <v/>
      </c>
      <c r="AX15" s="16">
        <f>IF(AND($D$15 &gt;= DATE(2022,10,1), $D$15 &lt;= DATE(2022,12,31)), $C$15 * $E$15 * $F$15, 0)</f>
        <v/>
      </c>
      <c r="AY15" s="16">
        <f>IF(AND($D$15 &gt;= DATE(2023,1,1), $D$15 &lt;= DATE(2023,3,31)), $C$15 * $E$15 * $F$15, 0)</f>
        <v/>
      </c>
      <c r="AZ15" s="16">
        <f>IF(AND($D$15 &gt;= DATE(2023,4,1), $D$15 &lt;= DATE(2023,6,30)), $C$15 * $E$15 * $F$15, 0)</f>
        <v/>
      </c>
      <c r="BA15" s="16">
        <f>IF(AND($D$15 &gt;= DATE(2023,7,1), $D$15 &lt;= DATE(2023,9,30)), $C$15 * $E$15 * $F$15, 0)</f>
        <v/>
      </c>
      <c r="BB15" s="16">
        <f>IF(AND($D$15 &gt;= DATE(2023,10,1), $D$15 &lt;= DATE(2023,12,31)), $C$15 * $E$15 * $F$15, 0)</f>
        <v/>
      </c>
      <c r="BC15" s="16">
        <f>IF(AND($D$15 &gt;= DATE(2024,1,1), $D$15 &lt;= DATE(2024,3,31)), $C$15 * $E$15 * $F$15, 0)</f>
        <v/>
      </c>
      <c r="BD15" s="16">
        <f>IF(AND($D$15 &gt;= DATE(2024,4,1), $D$15 &lt;= DATE(2024,6,30)), $C$15 * $E$15 * $F$15, 0)</f>
        <v/>
      </c>
      <c r="BE15" s="16">
        <f>IF(AND($D$15 &gt;= DATE(2024,7,1), $D$15 &lt;= DATE(2024,9,30)), $C$15 * $E$15 * $F$15, 0)</f>
        <v/>
      </c>
      <c r="BF15" s="16">
        <f>IF(AND($D$15 &gt;= DATE(2024,10,1), $D$15 &lt;= DATE(2024,12,31)), $C$15 * $E$15 * $F$15, 0)</f>
        <v/>
      </c>
      <c r="BG15" s="16">
        <f>IF(AND($D$15 &gt;= DATE(2025,1,1), $D$15 &lt;= DATE(2025,3,31)), $C$15 * $E$15 * $F$15, 0)</f>
        <v/>
      </c>
      <c r="BH15" s="16">
        <f>IF(AND($D$15 &gt;= DATE(2025,4,1), $D$15 &lt;= DATE(2025,6,30)), $C$15 * $E$15 * $F$15, 0)</f>
        <v/>
      </c>
      <c r="BI15" s="16">
        <f>IF(AND($D$15 &gt;= DATE(2025,7,1), $D$15 &lt;= DATE(2025,9,30)), $C$15 * $E$15 * $F$15, 0)</f>
        <v/>
      </c>
      <c r="BJ15" s="16">
        <f>IF(AND($D$15 &gt;= DATE(2025,10,1), $D$15 &lt;= DATE(2025,12,31)), $C$15 * $E$15 * $F$15, 0)</f>
        <v/>
      </c>
      <c r="BK15" s="16">
        <f>IF(AND($D$15 &gt;= DATE(2026,1,1), $D$15 &lt;= DATE(2026,3,31)), $C$15 * $E$15 * $F$15, 0)</f>
        <v/>
      </c>
      <c r="BL15" s="16">
        <f>IF(AND($D$15 &gt;= DATE(2026,4,1), $D$15 &lt;= DATE(2026,6,30)), $C$15 * $E$15 * $F$15, 0)</f>
        <v/>
      </c>
      <c r="BM15" s="16">
        <f>IF(AND($D$15 &gt;= DATE(2026,7,1), $D$15 &lt;= DATE(2026,9,30)), $C$15 * $E$15 * $F$15, 0)</f>
        <v/>
      </c>
      <c r="BN15" s="16">
        <f>IF(AND($D$15 &gt;= DATE(2026,10,1), $D$15 &lt;= DATE(2026,12,31)), $C$15 * $E$15 * $F$15, 0)</f>
        <v/>
      </c>
      <c r="BO15" s="16">
        <f>IF(AND($D$15 &gt;= DATE(2027,1,1), $D$15 &lt;= DATE(2027,3,31)), $C$15 * $E$15 * $F$15, 0)</f>
        <v/>
      </c>
      <c r="BP15" s="16">
        <f>IF(AND($D$15 &gt;= DATE(2027,4,1), $D$15 &lt;= DATE(2027,6,30)), $C$15 * $E$15 * $F$15, 0)</f>
        <v/>
      </c>
      <c r="BQ15" s="16">
        <f>IF(AND($D$15 &gt;= DATE(2027,7,1), $D$15 &lt;= DATE(2027,9,30)), $C$15 * $E$15 * $F$15, 0)</f>
        <v/>
      </c>
      <c r="BR15" s="16">
        <f>IF(AND($D$15 &gt;= DATE(2027,10,1), $D$15 &lt;= DATE(2027,12,31)), $C$15 * $E$15 * $F$15, 0)</f>
        <v/>
      </c>
      <c r="BS15" s="16">
        <f>IF(AND($D$15 &gt;= DATE(2028,1,1), $D$15 &lt;= DATE(2028,3,31)), $C$15 * $E$15 * $F$15, 0)</f>
        <v/>
      </c>
      <c r="BT15" s="16">
        <f>IF(AND($D$15 &gt;= DATE(2028,4,1), $D$15 &lt;= DATE(2028,6,30)), $C$15 * $E$15 * $F$15, 0)</f>
        <v/>
      </c>
      <c r="BU15" s="16">
        <f>IF(AND($D$15 &gt;= DATE(2028,7,1), $D$15 &lt;= DATE(2028,9,30)), $C$15 * $E$15 * $F$15, 0)</f>
        <v/>
      </c>
      <c r="BV15" s="16">
        <f>IF(AND($D$15 &gt;= DATE(2028,10,1), $D$15 &lt;= DATE(2028,12,31)), $C$15 * $E$15 * $F$15, 0)</f>
        <v/>
      </c>
    </row>
    <row r="16">
      <c r="B16" t="inlineStr">
        <is>
          <t>Foundry &gt; Ridgeline Defense &gt; Production Run A</t>
        </is>
      </c>
      <c r="C16" s="16" t="n">
        <v>120000</v>
      </c>
      <c r="D16" s="18" t="n">
        <v>46174</v>
      </c>
      <c r="E16" s="16" t="n">
        <v>4</v>
      </c>
      <c r="F16" s="19" t="n">
        <v>1</v>
      </c>
      <c r="G16" s="18" t="n">
        <v>46204</v>
      </c>
      <c r="H16" s="18" t="n">
        <v>46296</v>
      </c>
      <c r="I16" s="16">
        <f>$C$16 * $E$16</f>
        <v/>
      </c>
      <c r="J16" s="20">
        <f>$C$16 * $E$16 * $F$16</f>
        <v/>
      </c>
      <c r="K16" s="16">
        <f>IF(($G$16&lt;=DATE(2021,3,31))*($H$16&gt;=DATE(2021,1,1)),$C$16 * $F$16 * MAX(0, MIN((YEAR($H$16)*12+MONTH($H$16)), (YEAR(DATE(2021,3,31))*12+MONTH(DATE(2021,3,31)))) - MAX((YEAR($G$16)*12+MONTH($G$16)), (YEAR(DATE(2021,1,1))*12+MONTH(DATE(2021,1,1)))) + 1),0)</f>
        <v/>
      </c>
      <c r="L16" s="16">
        <f>IF(($G$16&lt;=DATE(2021,6,30))*($H$16&gt;=DATE(2021,4,1)),$C$16 * $F$16 * MAX(0, MIN((YEAR($H$16)*12+MONTH($H$16)), (YEAR(DATE(2021,6,30))*12+MONTH(DATE(2021,6,30)))) - MAX((YEAR($G$16)*12+MONTH($G$16)), (YEAR(DATE(2021,4,1))*12+MONTH(DATE(2021,4,1)))) + 1),0)</f>
        <v/>
      </c>
      <c r="M16" s="16">
        <f>IF(($G$16&lt;=DATE(2021,9,30))*($H$16&gt;=DATE(2021,7,1)),$C$16 * $F$16 * MAX(0, MIN((YEAR($H$16)*12+MONTH($H$16)), (YEAR(DATE(2021,9,30))*12+MONTH(DATE(2021,9,30)))) - MAX((YEAR($G$16)*12+MONTH($G$16)), (YEAR(DATE(2021,7,1))*12+MONTH(DATE(2021,7,1)))) + 1),0)</f>
        <v/>
      </c>
      <c r="N16" s="16">
        <f>IF(($G$16&lt;=DATE(2021,12,31))*($H$16&gt;=DATE(2021,10,1)),$C$16 * $F$16 * MAX(0, MIN((YEAR($H$16)*12+MONTH($H$16)), (YEAR(DATE(2021,12,31))*12+MONTH(DATE(2021,12,31)))) - MAX((YEAR($G$16)*12+MONTH($G$16)), (YEAR(DATE(2021,10,1))*12+MONTH(DATE(2021,10,1)))) + 1),0)</f>
        <v/>
      </c>
      <c r="O16" s="16">
        <f>IF(($G$16&lt;=DATE(2022,3,31))*($H$16&gt;=DATE(2022,1,1)),$C$16 * $F$16 * MAX(0, MIN((YEAR($H$16)*12+MONTH($H$16)), (YEAR(DATE(2022,3,31))*12+MONTH(DATE(2022,3,31)))) - MAX((YEAR($G$16)*12+MONTH($G$16)), (YEAR(DATE(2022,1,1))*12+MONTH(DATE(2022,1,1)))) + 1),0)</f>
        <v/>
      </c>
      <c r="P16" s="16">
        <f>IF(($G$16&lt;=DATE(2022,6,30))*($H$16&gt;=DATE(2022,4,1)),$C$16 * $F$16 * MAX(0, MIN((YEAR($H$16)*12+MONTH($H$16)), (YEAR(DATE(2022,6,30))*12+MONTH(DATE(2022,6,30)))) - MAX((YEAR($G$16)*12+MONTH($G$16)), (YEAR(DATE(2022,4,1))*12+MONTH(DATE(2022,4,1)))) + 1),0)</f>
        <v/>
      </c>
      <c r="Q16" s="16">
        <f>IF(($G$16&lt;=DATE(2022,9,30))*($H$16&gt;=DATE(2022,7,1)),$C$16 * $F$16 * MAX(0, MIN((YEAR($H$16)*12+MONTH($H$16)), (YEAR(DATE(2022,9,30))*12+MONTH(DATE(2022,9,30)))) - MAX((YEAR($G$16)*12+MONTH($G$16)), (YEAR(DATE(2022,7,1))*12+MONTH(DATE(2022,7,1)))) + 1),0)</f>
        <v/>
      </c>
      <c r="R16" s="16">
        <f>IF(($G$16&lt;=DATE(2022,12,31))*($H$16&gt;=DATE(2022,10,1)),$C$16 * $F$16 * MAX(0, MIN((YEAR($H$16)*12+MONTH($H$16)), (YEAR(DATE(2022,12,31))*12+MONTH(DATE(2022,12,31)))) - MAX((YEAR($G$16)*12+MONTH($G$16)), (YEAR(DATE(2022,10,1))*12+MONTH(DATE(2022,10,1)))) + 1),0)</f>
        <v/>
      </c>
      <c r="S16" s="16">
        <f>IF(($G$16&lt;=DATE(2023,3,31))*($H$16&gt;=DATE(2023,1,1)),$C$16 * $F$16 * MAX(0, MIN((YEAR($H$16)*12+MONTH($H$16)), (YEAR(DATE(2023,3,31))*12+MONTH(DATE(2023,3,31)))) - MAX((YEAR($G$16)*12+MONTH($G$16)), (YEAR(DATE(2023,1,1))*12+MONTH(DATE(2023,1,1)))) + 1),0)</f>
        <v/>
      </c>
      <c r="T16" s="16">
        <f>IF(($G$16&lt;=DATE(2023,6,30))*($H$16&gt;=DATE(2023,4,1)),$C$16 * $F$16 * MAX(0, MIN((YEAR($H$16)*12+MONTH($H$16)), (YEAR(DATE(2023,6,30))*12+MONTH(DATE(2023,6,30)))) - MAX((YEAR($G$16)*12+MONTH($G$16)), (YEAR(DATE(2023,4,1))*12+MONTH(DATE(2023,4,1)))) + 1),0)</f>
        <v/>
      </c>
      <c r="U16" s="16">
        <f>IF(($G$16&lt;=DATE(2023,9,30))*($H$16&gt;=DATE(2023,7,1)),$C$16 * $F$16 * MAX(0, MIN((YEAR($H$16)*12+MONTH($H$16)), (YEAR(DATE(2023,9,30))*12+MONTH(DATE(2023,9,30)))) - MAX((YEAR($G$16)*12+MONTH($G$16)), (YEAR(DATE(2023,7,1))*12+MONTH(DATE(2023,7,1)))) + 1),0)</f>
        <v/>
      </c>
      <c r="V16" s="16">
        <f>IF(($G$16&lt;=DATE(2023,12,31))*($H$16&gt;=DATE(2023,10,1)),$C$16 * $F$16 * MAX(0, MIN((YEAR($H$16)*12+MONTH($H$16)), (YEAR(DATE(2023,12,31))*12+MONTH(DATE(2023,12,31)))) - MAX((YEAR($G$16)*12+MONTH($G$16)), (YEAR(DATE(2023,10,1))*12+MONTH(DATE(2023,10,1)))) + 1),0)</f>
        <v/>
      </c>
      <c r="W16" s="16">
        <f>IF(($G$16&lt;=DATE(2024,3,31))*($H$16&gt;=DATE(2024,1,1)),$C$16 * $F$16 * MAX(0, MIN((YEAR($H$16)*12+MONTH($H$16)), (YEAR(DATE(2024,3,31))*12+MONTH(DATE(2024,3,31)))) - MAX((YEAR($G$16)*12+MONTH($G$16)), (YEAR(DATE(2024,1,1))*12+MONTH(DATE(2024,1,1)))) + 1),0)</f>
        <v/>
      </c>
      <c r="X16" s="16">
        <f>IF(($G$16&lt;=DATE(2024,6,30))*($H$16&gt;=DATE(2024,4,1)),$C$16 * $F$16 * MAX(0, MIN((YEAR($H$16)*12+MONTH($H$16)), (YEAR(DATE(2024,6,30))*12+MONTH(DATE(2024,6,30)))) - MAX((YEAR($G$16)*12+MONTH($G$16)), (YEAR(DATE(2024,4,1))*12+MONTH(DATE(2024,4,1)))) + 1),0)</f>
        <v/>
      </c>
      <c r="Y16" s="16">
        <f>IF(($G$16&lt;=DATE(2024,9,30))*($H$16&gt;=DATE(2024,7,1)),$C$16 * $F$16 * MAX(0, MIN((YEAR($H$16)*12+MONTH($H$16)), (YEAR(DATE(2024,9,30))*12+MONTH(DATE(2024,9,30)))) - MAX((YEAR($G$16)*12+MONTH($G$16)), (YEAR(DATE(2024,7,1))*12+MONTH(DATE(2024,7,1)))) + 1),0)</f>
        <v/>
      </c>
      <c r="Z16" s="16">
        <f>IF(($G$16&lt;=DATE(2024,12,31))*($H$16&gt;=DATE(2024,10,1)),$C$16 * $F$16 * MAX(0, MIN((YEAR($H$16)*12+MONTH($H$16)), (YEAR(DATE(2024,12,31))*12+MONTH(DATE(2024,12,31)))) - MAX((YEAR($G$16)*12+MONTH($G$16)), (YEAR(DATE(2024,10,1))*12+MONTH(DATE(2024,10,1)))) + 1),0)</f>
        <v/>
      </c>
      <c r="AA16" s="16">
        <f>IF(($G$16&lt;=DATE(2025,3,31))*($H$16&gt;=DATE(2025,1,1)),$C$16 * $F$16 * MAX(0, MIN((YEAR($H$16)*12+MONTH($H$16)), (YEAR(DATE(2025,3,31))*12+MONTH(DATE(2025,3,31)))) - MAX((YEAR($G$16)*12+MONTH($G$16)), (YEAR(DATE(2025,1,1))*12+MONTH(DATE(2025,1,1)))) + 1),0)</f>
        <v/>
      </c>
      <c r="AB16" s="16">
        <f>IF(($G$16&lt;=DATE(2025,6,30))*($H$16&gt;=DATE(2025,4,1)),$C$16 * $F$16 * MAX(0, MIN((YEAR($H$16)*12+MONTH($H$16)), (YEAR(DATE(2025,6,30))*12+MONTH(DATE(2025,6,30)))) - MAX((YEAR($G$16)*12+MONTH($G$16)), (YEAR(DATE(2025,4,1))*12+MONTH(DATE(2025,4,1)))) + 1),0)</f>
        <v/>
      </c>
      <c r="AC16" s="16">
        <f>IF(($G$16&lt;=DATE(2025,9,30))*($H$16&gt;=DATE(2025,7,1)),$C$16 * $F$16 * MAX(0, MIN((YEAR($H$16)*12+MONTH($H$16)), (YEAR(DATE(2025,9,30))*12+MONTH(DATE(2025,9,30)))) - MAX((YEAR($G$16)*12+MONTH($G$16)), (YEAR(DATE(2025,7,1))*12+MONTH(DATE(2025,7,1)))) + 1),0)</f>
        <v/>
      </c>
      <c r="AD16" s="16">
        <f>IF(($G$16&lt;=DATE(2025,12,31))*($H$16&gt;=DATE(2025,10,1)),$C$16 * $F$16 * MAX(0, MIN((YEAR($H$16)*12+MONTH($H$16)), (YEAR(DATE(2025,12,31))*12+MONTH(DATE(2025,12,31)))) - MAX((YEAR($G$16)*12+MONTH($G$16)), (YEAR(DATE(2025,10,1))*12+MONTH(DATE(2025,10,1)))) + 1),0)</f>
        <v/>
      </c>
      <c r="AE16" s="16">
        <f>IF(($G$16&lt;=DATE(2026,3,31))*($H$16&gt;=DATE(2026,1,1)),$C$16 * $F$16 * MAX(0, MIN((YEAR($H$16)*12+MONTH($H$16)), (YEAR(DATE(2026,3,31))*12+MONTH(DATE(2026,3,31)))) - MAX((YEAR($G$16)*12+MONTH($G$16)), (YEAR(DATE(2026,1,1))*12+MONTH(DATE(2026,1,1)))) + 1),0)</f>
        <v/>
      </c>
      <c r="AF16" s="16">
        <f>IF(($G$16&lt;=DATE(2026,6,30))*($H$16&gt;=DATE(2026,4,1)),$C$16 * $F$16 * MAX(0, MIN((YEAR($H$16)*12+MONTH($H$16)), (YEAR(DATE(2026,6,30))*12+MONTH(DATE(2026,6,30)))) - MAX((YEAR($G$16)*12+MONTH($G$16)), (YEAR(DATE(2026,4,1))*12+MONTH(DATE(2026,4,1)))) + 1),0)</f>
        <v/>
      </c>
      <c r="AG16" s="16">
        <f>IF(($G$16&lt;=DATE(2026,9,30))*($H$16&gt;=DATE(2026,7,1)),$C$16 * $F$16 * MAX(0, MIN((YEAR($H$16)*12+MONTH($H$16)), (YEAR(DATE(2026,9,30))*12+MONTH(DATE(2026,9,30)))) - MAX((YEAR($G$16)*12+MONTH($G$16)), (YEAR(DATE(2026,7,1))*12+MONTH(DATE(2026,7,1)))) + 1),0)</f>
        <v/>
      </c>
      <c r="AH16" s="16">
        <f>IF(($G$16&lt;=DATE(2026,12,31))*($H$16&gt;=DATE(2026,10,1)),$C$16 * $F$16 * MAX(0, MIN((YEAR($H$16)*12+MONTH($H$16)), (YEAR(DATE(2026,12,31))*12+MONTH(DATE(2026,12,31)))) - MAX((YEAR($G$16)*12+MONTH($G$16)), (YEAR(DATE(2026,10,1))*12+MONTH(DATE(2026,10,1)))) + 1),0)</f>
        <v/>
      </c>
      <c r="AI16" s="16">
        <f>IF(($G$16&lt;=DATE(2027,3,31))*($H$16&gt;=DATE(2027,1,1)),$C$16 * $F$16 * MAX(0, MIN((YEAR($H$16)*12+MONTH($H$16)), (YEAR(DATE(2027,3,31))*12+MONTH(DATE(2027,3,31)))) - MAX((YEAR($G$16)*12+MONTH($G$16)), (YEAR(DATE(2027,1,1))*12+MONTH(DATE(2027,1,1)))) + 1),0)</f>
        <v/>
      </c>
      <c r="AJ16" s="16">
        <f>IF(($G$16&lt;=DATE(2027,6,30))*($H$16&gt;=DATE(2027,4,1)),$C$16 * $F$16 * MAX(0, MIN((YEAR($H$16)*12+MONTH($H$16)), (YEAR(DATE(2027,6,30))*12+MONTH(DATE(2027,6,30)))) - MAX((YEAR($G$16)*12+MONTH($G$16)), (YEAR(DATE(2027,4,1))*12+MONTH(DATE(2027,4,1)))) + 1),0)</f>
        <v/>
      </c>
      <c r="AK16" s="16">
        <f>IF(($G$16&lt;=DATE(2027,9,30))*($H$16&gt;=DATE(2027,7,1)),$C$16 * $F$16 * MAX(0, MIN((YEAR($H$16)*12+MONTH($H$16)), (YEAR(DATE(2027,9,30))*12+MONTH(DATE(2027,9,30)))) - MAX((YEAR($G$16)*12+MONTH($G$16)), (YEAR(DATE(2027,7,1))*12+MONTH(DATE(2027,7,1)))) + 1),0)</f>
        <v/>
      </c>
      <c r="AL16" s="16">
        <f>IF(($G$16&lt;=DATE(2027,12,31))*($H$16&gt;=DATE(2027,10,1)),$C$16 * $F$16 * MAX(0, MIN((YEAR($H$16)*12+MONTH($H$16)), (YEAR(DATE(2027,12,31))*12+MONTH(DATE(2027,12,31)))) - MAX((YEAR($G$16)*12+MONTH($G$16)), (YEAR(DATE(2027,10,1))*12+MONTH(DATE(2027,10,1)))) + 1),0)</f>
        <v/>
      </c>
      <c r="AM16" s="16">
        <f>IF(($G$16&lt;=DATE(2028,3,31))*($H$16&gt;=DATE(2028,1,1)),$C$16 * $F$16 * MAX(0, MIN((YEAR($H$16)*12+MONTH($H$16)), (YEAR(DATE(2028,3,31))*12+MONTH(DATE(2028,3,31)))) - MAX((YEAR($G$16)*12+MONTH($G$16)), (YEAR(DATE(2028,1,1))*12+MONTH(DATE(2028,1,1)))) + 1),0)</f>
        <v/>
      </c>
      <c r="AN16" s="16">
        <f>IF(($G$16&lt;=DATE(2028,6,30))*($H$16&gt;=DATE(2028,4,1)),$C$16 * $F$16 * MAX(0, MIN((YEAR($H$16)*12+MONTH($H$16)), (YEAR(DATE(2028,6,30))*12+MONTH(DATE(2028,6,30)))) - MAX((YEAR($G$16)*12+MONTH($G$16)), (YEAR(DATE(2028,4,1))*12+MONTH(DATE(2028,4,1)))) + 1),0)</f>
        <v/>
      </c>
      <c r="AO16" s="16">
        <f>IF(($G$16&lt;=DATE(2028,9,30))*($H$16&gt;=DATE(2028,7,1)),$C$16 * $F$16 * MAX(0, MIN((YEAR($H$16)*12+MONTH($H$16)), (YEAR(DATE(2028,9,30))*12+MONTH(DATE(2028,9,30)))) - MAX((YEAR($G$16)*12+MONTH($G$16)), (YEAR(DATE(2028,7,1))*12+MONTH(DATE(2028,7,1)))) + 1),0)</f>
        <v/>
      </c>
      <c r="AP16" s="16">
        <f>IF(($G$16&lt;=DATE(2028,12,31))*($H$16&gt;=DATE(2028,10,1)),$C$16 * $F$16 * MAX(0, MIN((YEAR($H$16)*12+MONTH($H$16)), (YEAR(DATE(2028,12,31))*12+MONTH(DATE(2028,12,31)))) - MAX((YEAR($G$16)*12+MONTH($G$16)), (YEAR(DATE(2028,10,1))*12+MONTH(DATE(2028,10,1)))) + 1),0)</f>
        <v/>
      </c>
      <c r="AQ16" s="16">
        <f>IF(AND($D$16 &gt;= DATE(2021,1,1), $D$16 &lt;= DATE(2021,3,31)), $C$16 * $E$16 * $F$16, 0)</f>
        <v/>
      </c>
      <c r="AR16" s="16">
        <f>IF(AND($D$16 &gt;= DATE(2021,4,1), $D$16 &lt;= DATE(2021,6,30)), $C$16 * $E$16 * $F$16, 0)</f>
        <v/>
      </c>
      <c r="AS16" s="16">
        <f>IF(AND($D$16 &gt;= DATE(2021,7,1), $D$16 &lt;= DATE(2021,9,30)), $C$16 * $E$16 * $F$16, 0)</f>
        <v/>
      </c>
      <c r="AT16" s="16">
        <f>IF(AND($D$16 &gt;= DATE(2021,10,1), $D$16 &lt;= DATE(2021,12,31)), $C$16 * $E$16 * $F$16, 0)</f>
        <v/>
      </c>
      <c r="AU16" s="16">
        <f>IF(AND($D$16 &gt;= DATE(2022,1,1), $D$16 &lt;= DATE(2022,3,31)), $C$16 * $E$16 * $F$16, 0)</f>
        <v/>
      </c>
      <c r="AV16" s="16">
        <f>IF(AND($D$16 &gt;= DATE(2022,4,1), $D$16 &lt;= DATE(2022,6,30)), $C$16 * $E$16 * $F$16, 0)</f>
        <v/>
      </c>
      <c r="AW16" s="16">
        <f>IF(AND($D$16 &gt;= DATE(2022,7,1), $D$16 &lt;= DATE(2022,9,30)), $C$16 * $E$16 * $F$16, 0)</f>
        <v/>
      </c>
      <c r="AX16" s="16">
        <f>IF(AND($D$16 &gt;= DATE(2022,10,1), $D$16 &lt;= DATE(2022,12,31)), $C$16 * $E$16 * $F$16, 0)</f>
        <v/>
      </c>
      <c r="AY16" s="16">
        <f>IF(AND($D$16 &gt;= DATE(2023,1,1), $D$16 &lt;= DATE(2023,3,31)), $C$16 * $E$16 * $F$16, 0)</f>
        <v/>
      </c>
      <c r="AZ16" s="16">
        <f>IF(AND($D$16 &gt;= DATE(2023,4,1), $D$16 &lt;= DATE(2023,6,30)), $C$16 * $E$16 * $F$16, 0)</f>
        <v/>
      </c>
      <c r="BA16" s="16">
        <f>IF(AND($D$16 &gt;= DATE(2023,7,1), $D$16 &lt;= DATE(2023,9,30)), $C$16 * $E$16 * $F$16, 0)</f>
        <v/>
      </c>
      <c r="BB16" s="16">
        <f>IF(AND($D$16 &gt;= DATE(2023,10,1), $D$16 &lt;= DATE(2023,12,31)), $C$16 * $E$16 * $F$16, 0)</f>
        <v/>
      </c>
      <c r="BC16" s="16">
        <f>IF(AND($D$16 &gt;= DATE(2024,1,1), $D$16 &lt;= DATE(2024,3,31)), $C$16 * $E$16 * $F$16, 0)</f>
        <v/>
      </c>
      <c r="BD16" s="16">
        <f>IF(AND($D$16 &gt;= DATE(2024,4,1), $D$16 &lt;= DATE(2024,6,30)), $C$16 * $E$16 * $F$16, 0)</f>
        <v/>
      </c>
      <c r="BE16" s="16">
        <f>IF(AND($D$16 &gt;= DATE(2024,7,1), $D$16 &lt;= DATE(2024,9,30)), $C$16 * $E$16 * $F$16, 0)</f>
        <v/>
      </c>
      <c r="BF16" s="16">
        <f>IF(AND($D$16 &gt;= DATE(2024,10,1), $D$16 &lt;= DATE(2024,12,31)), $C$16 * $E$16 * $F$16, 0)</f>
        <v/>
      </c>
      <c r="BG16" s="16">
        <f>IF(AND($D$16 &gt;= DATE(2025,1,1), $D$16 &lt;= DATE(2025,3,31)), $C$16 * $E$16 * $F$16, 0)</f>
        <v/>
      </c>
      <c r="BH16" s="16">
        <f>IF(AND($D$16 &gt;= DATE(2025,4,1), $D$16 &lt;= DATE(2025,6,30)), $C$16 * $E$16 * $F$16, 0)</f>
        <v/>
      </c>
      <c r="BI16" s="16">
        <f>IF(AND($D$16 &gt;= DATE(2025,7,1), $D$16 &lt;= DATE(2025,9,30)), $C$16 * $E$16 * $F$16, 0)</f>
        <v/>
      </c>
      <c r="BJ16" s="16">
        <f>IF(AND($D$16 &gt;= DATE(2025,10,1), $D$16 &lt;= DATE(2025,12,31)), $C$16 * $E$16 * $F$16, 0)</f>
        <v/>
      </c>
      <c r="BK16" s="16">
        <f>IF(AND($D$16 &gt;= DATE(2026,1,1), $D$16 &lt;= DATE(2026,3,31)), $C$16 * $E$16 * $F$16, 0)</f>
        <v/>
      </c>
      <c r="BL16" s="16">
        <f>IF(AND($D$16 &gt;= DATE(2026,4,1), $D$16 &lt;= DATE(2026,6,30)), $C$16 * $E$16 * $F$16, 0)</f>
        <v/>
      </c>
      <c r="BM16" s="16">
        <f>IF(AND($D$16 &gt;= DATE(2026,7,1), $D$16 &lt;= DATE(2026,9,30)), $C$16 * $E$16 * $F$16, 0)</f>
        <v/>
      </c>
      <c r="BN16" s="16">
        <f>IF(AND($D$16 &gt;= DATE(2026,10,1), $D$16 &lt;= DATE(2026,12,31)), $C$16 * $E$16 * $F$16, 0)</f>
        <v/>
      </c>
      <c r="BO16" s="16">
        <f>IF(AND($D$16 &gt;= DATE(2027,1,1), $D$16 &lt;= DATE(2027,3,31)), $C$16 * $E$16 * $F$16, 0)</f>
        <v/>
      </c>
      <c r="BP16" s="16">
        <f>IF(AND($D$16 &gt;= DATE(2027,4,1), $D$16 &lt;= DATE(2027,6,30)), $C$16 * $E$16 * $F$16, 0)</f>
        <v/>
      </c>
      <c r="BQ16" s="16">
        <f>IF(AND($D$16 &gt;= DATE(2027,7,1), $D$16 &lt;= DATE(2027,9,30)), $C$16 * $E$16 * $F$16, 0)</f>
        <v/>
      </c>
      <c r="BR16" s="16">
        <f>IF(AND($D$16 &gt;= DATE(2027,10,1), $D$16 &lt;= DATE(2027,12,31)), $C$16 * $E$16 * $F$16, 0)</f>
        <v/>
      </c>
      <c r="BS16" s="16">
        <f>IF(AND($D$16 &gt;= DATE(2028,1,1), $D$16 &lt;= DATE(2028,3,31)), $C$16 * $E$16 * $F$16, 0)</f>
        <v/>
      </c>
      <c r="BT16" s="16">
        <f>IF(AND($D$16 &gt;= DATE(2028,4,1), $D$16 &lt;= DATE(2028,6,30)), $C$16 * $E$16 * $F$16, 0)</f>
        <v/>
      </c>
      <c r="BU16" s="16">
        <f>IF(AND($D$16 &gt;= DATE(2028,7,1), $D$16 &lt;= DATE(2028,9,30)), $C$16 * $E$16 * $F$16, 0)</f>
        <v/>
      </c>
      <c r="BV16" s="16">
        <f>IF(AND($D$16 &gt;= DATE(2028,10,1), $D$16 &lt;= DATE(2028,12,31)), $C$16 * $E$16 * $F$16, 0)</f>
        <v/>
      </c>
    </row>
    <row r="17">
      <c r="B17" t="inlineStr">
        <is>
          <t>Foundry &gt; Solano Motors &gt; Assembly Fixtures</t>
        </is>
      </c>
      <c r="C17" s="16" t="n">
        <v>90000</v>
      </c>
      <c r="D17" s="18" t="n">
        <v>46174</v>
      </c>
      <c r="E17" s="16" t="n">
        <v>5</v>
      </c>
      <c r="F17" s="19" t="n">
        <v>1</v>
      </c>
      <c r="G17" s="18" t="n">
        <v>46204</v>
      </c>
      <c r="H17" s="18" t="n">
        <v>46327</v>
      </c>
      <c r="I17" s="16">
        <f>$C$17 * $E$17</f>
        <v/>
      </c>
      <c r="J17" s="20">
        <f>$C$17 * $E$17 * $F$17</f>
        <v/>
      </c>
      <c r="K17" s="16">
        <f>IF(($G$17&lt;=DATE(2021,3,31))*($H$17&gt;=DATE(2021,1,1)),$C$17 * $F$17 * MAX(0, MIN((YEAR($H$17)*12+MONTH($H$17)), (YEAR(DATE(2021,3,31))*12+MONTH(DATE(2021,3,31)))) - MAX((YEAR($G$17)*12+MONTH($G$17)), (YEAR(DATE(2021,1,1))*12+MONTH(DATE(2021,1,1)))) + 1),0)</f>
        <v/>
      </c>
      <c r="L17" s="16">
        <f>IF(($G$17&lt;=DATE(2021,6,30))*($H$17&gt;=DATE(2021,4,1)),$C$17 * $F$17 * MAX(0, MIN((YEAR($H$17)*12+MONTH($H$17)), (YEAR(DATE(2021,6,30))*12+MONTH(DATE(2021,6,30)))) - MAX((YEAR($G$17)*12+MONTH($G$17)), (YEAR(DATE(2021,4,1))*12+MONTH(DATE(2021,4,1)))) + 1),0)</f>
        <v/>
      </c>
      <c r="M17" s="16">
        <f>IF(($G$17&lt;=DATE(2021,9,30))*($H$17&gt;=DATE(2021,7,1)),$C$17 * $F$17 * MAX(0, MIN((YEAR($H$17)*12+MONTH($H$17)), (YEAR(DATE(2021,9,30))*12+MONTH(DATE(2021,9,30)))) - MAX((YEAR($G$17)*12+MONTH($G$17)), (YEAR(DATE(2021,7,1))*12+MONTH(DATE(2021,7,1)))) + 1),0)</f>
        <v/>
      </c>
      <c r="N17" s="16">
        <f>IF(($G$17&lt;=DATE(2021,12,31))*($H$17&gt;=DATE(2021,10,1)),$C$17 * $F$17 * MAX(0, MIN((YEAR($H$17)*12+MONTH($H$17)), (YEAR(DATE(2021,12,31))*12+MONTH(DATE(2021,12,31)))) - MAX((YEAR($G$17)*12+MONTH($G$17)), (YEAR(DATE(2021,10,1))*12+MONTH(DATE(2021,10,1)))) + 1),0)</f>
        <v/>
      </c>
      <c r="O17" s="16">
        <f>IF(($G$17&lt;=DATE(2022,3,31))*($H$17&gt;=DATE(2022,1,1)),$C$17 * $F$17 * MAX(0, MIN((YEAR($H$17)*12+MONTH($H$17)), (YEAR(DATE(2022,3,31))*12+MONTH(DATE(2022,3,31)))) - MAX((YEAR($G$17)*12+MONTH($G$17)), (YEAR(DATE(2022,1,1))*12+MONTH(DATE(2022,1,1)))) + 1),0)</f>
        <v/>
      </c>
      <c r="P17" s="16">
        <f>IF(($G$17&lt;=DATE(2022,6,30))*($H$17&gt;=DATE(2022,4,1)),$C$17 * $F$17 * MAX(0, MIN((YEAR($H$17)*12+MONTH($H$17)), (YEAR(DATE(2022,6,30))*12+MONTH(DATE(2022,6,30)))) - MAX((YEAR($G$17)*12+MONTH($G$17)), (YEAR(DATE(2022,4,1))*12+MONTH(DATE(2022,4,1)))) + 1),0)</f>
        <v/>
      </c>
      <c r="Q17" s="16">
        <f>IF(($G$17&lt;=DATE(2022,9,30))*($H$17&gt;=DATE(2022,7,1)),$C$17 * $F$17 * MAX(0, MIN((YEAR($H$17)*12+MONTH($H$17)), (YEAR(DATE(2022,9,30))*12+MONTH(DATE(2022,9,30)))) - MAX((YEAR($G$17)*12+MONTH($G$17)), (YEAR(DATE(2022,7,1))*12+MONTH(DATE(2022,7,1)))) + 1),0)</f>
        <v/>
      </c>
      <c r="R17" s="16">
        <f>IF(($G$17&lt;=DATE(2022,12,31))*($H$17&gt;=DATE(2022,10,1)),$C$17 * $F$17 * MAX(0, MIN((YEAR($H$17)*12+MONTH($H$17)), (YEAR(DATE(2022,12,31))*12+MONTH(DATE(2022,12,31)))) - MAX((YEAR($G$17)*12+MONTH($G$17)), (YEAR(DATE(2022,10,1))*12+MONTH(DATE(2022,10,1)))) + 1),0)</f>
        <v/>
      </c>
      <c r="S17" s="16">
        <f>IF(($G$17&lt;=DATE(2023,3,31))*($H$17&gt;=DATE(2023,1,1)),$C$17 * $F$17 * MAX(0, MIN((YEAR($H$17)*12+MONTH($H$17)), (YEAR(DATE(2023,3,31))*12+MONTH(DATE(2023,3,31)))) - MAX((YEAR($G$17)*12+MONTH($G$17)), (YEAR(DATE(2023,1,1))*12+MONTH(DATE(2023,1,1)))) + 1),0)</f>
        <v/>
      </c>
      <c r="T17" s="16">
        <f>IF(($G$17&lt;=DATE(2023,6,30))*($H$17&gt;=DATE(2023,4,1)),$C$17 * $F$17 * MAX(0, MIN((YEAR($H$17)*12+MONTH($H$17)), (YEAR(DATE(2023,6,30))*12+MONTH(DATE(2023,6,30)))) - MAX((YEAR($G$17)*12+MONTH($G$17)), (YEAR(DATE(2023,4,1))*12+MONTH(DATE(2023,4,1)))) + 1),0)</f>
        <v/>
      </c>
      <c r="U17" s="16">
        <f>IF(($G$17&lt;=DATE(2023,9,30))*($H$17&gt;=DATE(2023,7,1)),$C$17 * $F$17 * MAX(0, MIN((YEAR($H$17)*12+MONTH($H$17)), (YEAR(DATE(2023,9,30))*12+MONTH(DATE(2023,9,30)))) - MAX((YEAR($G$17)*12+MONTH($G$17)), (YEAR(DATE(2023,7,1))*12+MONTH(DATE(2023,7,1)))) + 1),0)</f>
        <v/>
      </c>
      <c r="V17" s="16">
        <f>IF(($G$17&lt;=DATE(2023,12,31))*($H$17&gt;=DATE(2023,10,1)),$C$17 * $F$17 * MAX(0, MIN((YEAR($H$17)*12+MONTH($H$17)), (YEAR(DATE(2023,12,31))*12+MONTH(DATE(2023,12,31)))) - MAX((YEAR($G$17)*12+MONTH($G$17)), (YEAR(DATE(2023,10,1))*12+MONTH(DATE(2023,10,1)))) + 1),0)</f>
        <v/>
      </c>
      <c r="W17" s="16">
        <f>IF(($G$17&lt;=DATE(2024,3,31))*($H$17&gt;=DATE(2024,1,1)),$C$17 * $F$17 * MAX(0, MIN((YEAR($H$17)*12+MONTH($H$17)), (YEAR(DATE(2024,3,31))*12+MONTH(DATE(2024,3,31)))) - MAX((YEAR($G$17)*12+MONTH($G$17)), (YEAR(DATE(2024,1,1))*12+MONTH(DATE(2024,1,1)))) + 1),0)</f>
        <v/>
      </c>
      <c r="X17" s="16">
        <f>IF(($G$17&lt;=DATE(2024,6,30))*($H$17&gt;=DATE(2024,4,1)),$C$17 * $F$17 * MAX(0, MIN((YEAR($H$17)*12+MONTH($H$17)), (YEAR(DATE(2024,6,30))*12+MONTH(DATE(2024,6,30)))) - MAX((YEAR($G$17)*12+MONTH($G$17)), (YEAR(DATE(2024,4,1))*12+MONTH(DATE(2024,4,1)))) + 1),0)</f>
        <v/>
      </c>
      <c r="Y17" s="16">
        <f>IF(($G$17&lt;=DATE(2024,9,30))*($H$17&gt;=DATE(2024,7,1)),$C$17 * $F$17 * MAX(0, MIN((YEAR($H$17)*12+MONTH($H$17)), (YEAR(DATE(2024,9,30))*12+MONTH(DATE(2024,9,30)))) - MAX((YEAR($G$17)*12+MONTH($G$17)), (YEAR(DATE(2024,7,1))*12+MONTH(DATE(2024,7,1)))) + 1),0)</f>
        <v/>
      </c>
      <c r="Z17" s="16">
        <f>IF(($G$17&lt;=DATE(2024,12,31))*($H$17&gt;=DATE(2024,10,1)),$C$17 * $F$17 * MAX(0, MIN((YEAR($H$17)*12+MONTH($H$17)), (YEAR(DATE(2024,12,31))*12+MONTH(DATE(2024,12,31)))) - MAX((YEAR($G$17)*12+MONTH($G$17)), (YEAR(DATE(2024,10,1))*12+MONTH(DATE(2024,10,1)))) + 1),0)</f>
        <v/>
      </c>
      <c r="AA17" s="16">
        <f>IF(($G$17&lt;=DATE(2025,3,31))*($H$17&gt;=DATE(2025,1,1)),$C$17 * $F$17 * MAX(0, MIN((YEAR($H$17)*12+MONTH($H$17)), (YEAR(DATE(2025,3,31))*12+MONTH(DATE(2025,3,31)))) - MAX((YEAR($G$17)*12+MONTH($G$17)), (YEAR(DATE(2025,1,1))*12+MONTH(DATE(2025,1,1)))) + 1),0)</f>
        <v/>
      </c>
      <c r="AB17" s="16">
        <f>IF(($G$17&lt;=DATE(2025,6,30))*($H$17&gt;=DATE(2025,4,1)),$C$17 * $F$17 * MAX(0, MIN((YEAR($H$17)*12+MONTH($H$17)), (YEAR(DATE(2025,6,30))*12+MONTH(DATE(2025,6,30)))) - MAX((YEAR($G$17)*12+MONTH($G$17)), (YEAR(DATE(2025,4,1))*12+MONTH(DATE(2025,4,1)))) + 1),0)</f>
        <v/>
      </c>
      <c r="AC17" s="16">
        <f>IF(($G$17&lt;=DATE(2025,9,30))*($H$17&gt;=DATE(2025,7,1)),$C$17 * $F$17 * MAX(0, MIN((YEAR($H$17)*12+MONTH($H$17)), (YEAR(DATE(2025,9,30))*12+MONTH(DATE(2025,9,30)))) - MAX((YEAR($G$17)*12+MONTH($G$17)), (YEAR(DATE(2025,7,1))*12+MONTH(DATE(2025,7,1)))) + 1),0)</f>
        <v/>
      </c>
      <c r="AD17" s="16">
        <f>IF(($G$17&lt;=DATE(2025,12,31))*($H$17&gt;=DATE(2025,10,1)),$C$17 * $F$17 * MAX(0, MIN((YEAR($H$17)*12+MONTH($H$17)), (YEAR(DATE(2025,12,31))*12+MONTH(DATE(2025,12,31)))) - MAX((YEAR($G$17)*12+MONTH($G$17)), (YEAR(DATE(2025,10,1))*12+MONTH(DATE(2025,10,1)))) + 1),0)</f>
        <v/>
      </c>
      <c r="AE17" s="16">
        <f>IF(($G$17&lt;=DATE(2026,3,31))*($H$17&gt;=DATE(2026,1,1)),$C$17 * $F$17 * MAX(0, MIN((YEAR($H$17)*12+MONTH($H$17)), (YEAR(DATE(2026,3,31))*12+MONTH(DATE(2026,3,31)))) - MAX((YEAR($G$17)*12+MONTH($G$17)), (YEAR(DATE(2026,1,1))*12+MONTH(DATE(2026,1,1)))) + 1),0)</f>
        <v/>
      </c>
      <c r="AF17" s="16">
        <f>IF(($G$17&lt;=DATE(2026,6,30))*($H$17&gt;=DATE(2026,4,1)),$C$17 * $F$17 * MAX(0, MIN((YEAR($H$17)*12+MONTH($H$17)), (YEAR(DATE(2026,6,30))*12+MONTH(DATE(2026,6,30)))) - MAX((YEAR($G$17)*12+MONTH($G$17)), (YEAR(DATE(2026,4,1))*12+MONTH(DATE(2026,4,1)))) + 1),0)</f>
        <v/>
      </c>
      <c r="AG17" s="16">
        <f>IF(($G$17&lt;=DATE(2026,9,30))*($H$17&gt;=DATE(2026,7,1)),$C$17 * $F$17 * MAX(0, MIN((YEAR($H$17)*12+MONTH($H$17)), (YEAR(DATE(2026,9,30))*12+MONTH(DATE(2026,9,30)))) - MAX((YEAR($G$17)*12+MONTH($G$17)), (YEAR(DATE(2026,7,1))*12+MONTH(DATE(2026,7,1)))) + 1),0)</f>
        <v/>
      </c>
      <c r="AH17" s="16">
        <f>IF(($G$17&lt;=DATE(2026,12,31))*($H$17&gt;=DATE(2026,10,1)),$C$17 * $F$17 * MAX(0, MIN((YEAR($H$17)*12+MONTH($H$17)), (YEAR(DATE(2026,12,31))*12+MONTH(DATE(2026,12,31)))) - MAX((YEAR($G$17)*12+MONTH($G$17)), (YEAR(DATE(2026,10,1))*12+MONTH(DATE(2026,10,1)))) + 1),0)</f>
        <v/>
      </c>
      <c r="AI17" s="16">
        <f>IF(($G$17&lt;=DATE(2027,3,31))*($H$17&gt;=DATE(2027,1,1)),$C$17 * $F$17 * MAX(0, MIN((YEAR($H$17)*12+MONTH($H$17)), (YEAR(DATE(2027,3,31))*12+MONTH(DATE(2027,3,31)))) - MAX((YEAR($G$17)*12+MONTH($G$17)), (YEAR(DATE(2027,1,1))*12+MONTH(DATE(2027,1,1)))) + 1),0)</f>
        <v/>
      </c>
      <c r="AJ17" s="16">
        <f>IF(($G$17&lt;=DATE(2027,6,30))*($H$17&gt;=DATE(2027,4,1)),$C$17 * $F$17 * MAX(0, MIN((YEAR($H$17)*12+MONTH($H$17)), (YEAR(DATE(2027,6,30))*12+MONTH(DATE(2027,6,30)))) - MAX((YEAR($G$17)*12+MONTH($G$17)), (YEAR(DATE(2027,4,1))*12+MONTH(DATE(2027,4,1)))) + 1),0)</f>
        <v/>
      </c>
      <c r="AK17" s="16">
        <f>IF(($G$17&lt;=DATE(2027,9,30))*($H$17&gt;=DATE(2027,7,1)),$C$17 * $F$17 * MAX(0, MIN((YEAR($H$17)*12+MONTH($H$17)), (YEAR(DATE(2027,9,30))*12+MONTH(DATE(2027,9,30)))) - MAX((YEAR($G$17)*12+MONTH($G$17)), (YEAR(DATE(2027,7,1))*12+MONTH(DATE(2027,7,1)))) + 1),0)</f>
        <v/>
      </c>
      <c r="AL17" s="16">
        <f>IF(($G$17&lt;=DATE(2027,12,31))*($H$17&gt;=DATE(2027,10,1)),$C$17 * $F$17 * MAX(0, MIN((YEAR($H$17)*12+MONTH($H$17)), (YEAR(DATE(2027,12,31))*12+MONTH(DATE(2027,12,31)))) - MAX((YEAR($G$17)*12+MONTH($G$17)), (YEAR(DATE(2027,10,1))*12+MONTH(DATE(2027,10,1)))) + 1),0)</f>
        <v/>
      </c>
      <c r="AM17" s="16">
        <f>IF(($G$17&lt;=DATE(2028,3,31))*($H$17&gt;=DATE(2028,1,1)),$C$17 * $F$17 * MAX(0, MIN((YEAR($H$17)*12+MONTH($H$17)), (YEAR(DATE(2028,3,31))*12+MONTH(DATE(2028,3,31)))) - MAX((YEAR($G$17)*12+MONTH($G$17)), (YEAR(DATE(2028,1,1))*12+MONTH(DATE(2028,1,1)))) + 1),0)</f>
        <v/>
      </c>
      <c r="AN17" s="16">
        <f>IF(($G$17&lt;=DATE(2028,6,30))*($H$17&gt;=DATE(2028,4,1)),$C$17 * $F$17 * MAX(0, MIN((YEAR($H$17)*12+MONTH($H$17)), (YEAR(DATE(2028,6,30))*12+MONTH(DATE(2028,6,30)))) - MAX((YEAR($G$17)*12+MONTH($G$17)), (YEAR(DATE(2028,4,1))*12+MONTH(DATE(2028,4,1)))) + 1),0)</f>
        <v/>
      </c>
      <c r="AO17" s="16">
        <f>IF(($G$17&lt;=DATE(2028,9,30))*($H$17&gt;=DATE(2028,7,1)),$C$17 * $F$17 * MAX(0, MIN((YEAR($H$17)*12+MONTH($H$17)), (YEAR(DATE(2028,9,30))*12+MONTH(DATE(2028,9,30)))) - MAX((YEAR($G$17)*12+MONTH($G$17)), (YEAR(DATE(2028,7,1))*12+MONTH(DATE(2028,7,1)))) + 1),0)</f>
        <v/>
      </c>
      <c r="AP17" s="16">
        <f>IF(($G$17&lt;=DATE(2028,12,31))*($H$17&gt;=DATE(2028,10,1)),$C$17 * $F$17 * MAX(0, MIN((YEAR($H$17)*12+MONTH($H$17)), (YEAR(DATE(2028,12,31))*12+MONTH(DATE(2028,12,31)))) - MAX((YEAR($G$17)*12+MONTH($G$17)), (YEAR(DATE(2028,10,1))*12+MONTH(DATE(2028,10,1)))) + 1),0)</f>
        <v/>
      </c>
      <c r="AQ17" s="16">
        <f>IF(AND($D$17 &gt;= DATE(2021,1,1), $D$17 &lt;= DATE(2021,3,31)), $C$17 * $E$17 * $F$17, 0)</f>
        <v/>
      </c>
      <c r="AR17" s="16">
        <f>IF(AND($D$17 &gt;= DATE(2021,4,1), $D$17 &lt;= DATE(2021,6,30)), $C$17 * $E$17 * $F$17, 0)</f>
        <v/>
      </c>
      <c r="AS17" s="16">
        <f>IF(AND($D$17 &gt;= DATE(2021,7,1), $D$17 &lt;= DATE(2021,9,30)), $C$17 * $E$17 * $F$17, 0)</f>
        <v/>
      </c>
      <c r="AT17" s="16">
        <f>IF(AND($D$17 &gt;= DATE(2021,10,1), $D$17 &lt;= DATE(2021,12,31)), $C$17 * $E$17 * $F$17, 0)</f>
        <v/>
      </c>
      <c r="AU17" s="16">
        <f>IF(AND($D$17 &gt;= DATE(2022,1,1), $D$17 &lt;= DATE(2022,3,31)), $C$17 * $E$17 * $F$17, 0)</f>
        <v/>
      </c>
      <c r="AV17" s="16">
        <f>IF(AND($D$17 &gt;= DATE(2022,4,1), $D$17 &lt;= DATE(2022,6,30)), $C$17 * $E$17 * $F$17, 0)</f>
        <v/>
      </c>
      <c r="AW17" s="16">
        <f>IF(AND($D$17 &gt;= DATE(2022,7,1), $D$17 &lt;= DATE(2022,9,30)), $C$17 * $E$17 * $F$17, 0)</f>
        <v/>
      </c>
      <c r="AX17" s="16">
        <f>IF(AND($D$17 &gt;= DATE(2022,10,1), $D$17 &lt;= DATE(2022,12,31)), $C$17 * $E$17 * $F$17, 0)</f>
        <v/>
      </c>
      <c r="AY17" s="16">
        <f>IF(AND($D$17 &gt;= DATE(2023,1,1), $D$17 &lt;= DATE(2023,3,31)), $C$17 * $E$17 * $F$17, 0)</f>
        <v/>
      </c>
      <c r="AZ17" s="16">
        <f>IF(AND($D$17 &gt;= DATE(2023,4,1), $D$17 &lt;= DATE(2023,6,30)), $C$17 * $E$17 * $F$17, 0)</f>
        <v/>
      </c>
      <c r="BA17" s="16">
        <f>IF(AND($D$17 &gt;= DATE(2023,7,1), $D$17 &lt;= DATE(2023,9,30)), $C$17 * $E$17 * $F$17, 0)</f>
        <v/>
      </c>
      <c r="BB17" s="16">
        <f>IF(AND($D$17 &gt;= DATE(2023,10,1), $D$17 &lt;= DATE(2023,12,31)), $C$17 * $E$17 * $F$17, 0)</f>
        <v/>
      </c>
      <c r="BC17" s="16">
        <f>IF(AND($D$17 &gt;= DATE(2024,1,1), $D$17 &lt;= DATE(2024,3,31)), $C$17 * $E$17 * $F$17, 0)</f>
        <v/>
      </c>
      <c r="BD17" s="16">
        <f>IF(AND($D$17 &gt;= DATE(2024,4,1), $D$17 &lt;= DATE(2024,6,30)), $C$17 * $E$17 * $F$17, 0)</f>
        <v/>
      </c>
      <c r="BE17" s="16">
        <f>IF(AND($D$17 &gt;= DATE(2024,7,1), $D$17 &lt;= DATE(2024,9,30)), $C$17 * $E$17 * $F$17, 0)</f>
        <v/>
      </c>
      <c r="BF17" s="16">
        <f>IF(AND($D$17 &gt;= DATE(2024,10,1), $D$17 &lt;= DATE(2024,12,31)), $C$17 * $E$17 * $F$17, 0)</f>
        <v/>
      </c>
      <c r="BG17" s="16">
        <f>IF(AND($D$17 &gt;= DATE(2025,1,1), $D$17 &lt;= DATE(2025,3,31)), $C$17 * $E$17 * $F$17, 0)</f>
        <v/>
      </c>
      <c r="BH17" s="16">
        <f>IF(AND($D$17 &gt;= DATE(2025,4,1), $D$17 &lt;= DATE(2025,6,30)), $C$17 * $E$17 * $F$17, 0)</f>
        <v/>
      </c>
      <c r="BI17" s="16">
        <f>IF(AND($D$17 &gt;= DATE(2025,7,1), $D$17 &lt;= DATE(2025,9,30)), $C$17 * $E$17 * $F$17, 0)</f>
        <v/>
      </c>
      <c r="BJ17" s="16">
        <f>IF(AND($D$17 &gt;= DATE(2025,10,1), $D$17 &lt;= DATE(2025,12,31)), $C$17 * $E$17 * $F$17, 0)</f>
        <v/>
      </c>
      <c r="BK17" s="16">
        <f>IF(AND($D$17 &gt;= DATE(2026,1,1), $D$17 &lt;= DATE(2026,3,31)), $C$17 * $E$17 * $F$17, 0)</f>
        <v/>
      </c>
      <c r="BL17" s="16">
        <f>IF(AND($D$17 &gt;= DATE(2026,4,1), $D$17 &lt;= DATE(2026,6,30)), $C$17 * $E$17 * $F$17, 0)</f>
        <v/>
      </c>
      <c r="BM17" s="16">
        <f>IF(AND($D$17 &gt;= DATE(2026,7,1), $D$17 &lt;= DATE(2026,9,30)), $C$17 * $E$17 * $F$17, 0)</f>
        <v/>
      </c>
      <c r="BN17" s="16">
        <f>IF(AND($D$17 &gt;= DATE(2026,10,1), $D$17 &lt;= DATE(2026,12,31)), $C$17 * $E$17 * $F$17, 0)</f>
        <v/>
      </c>
      <c r="BO17" s="16">
        <f>IF(AND($D$17 &gt;= DATE(2027,1,1), $D$17 &lt;= DATE(2027,3,31)), $C$17 * $E$17 * $F$17, 0)</f>
        <v/>
      </c>
      <c r="BP17" s="16">
        <f>IF(AND($D$17 &gt;= DATE(2027,4,1), $D$17 &lt;= DATE(2027,6,30)), $C$17 * $E$17 * $F$17, 0)</f>
        <v/>
      </c>
      <c r="BQ17" s="16">
        <f>IF(AND($D$17 &gt;= DATE(2027,7,1), $D$17 &lt;= DATE(2027,9,30)), $C$17 * $E$17 * $F$17, 0)</f>
        <v/>
      </c>
      <c r="BR17" s="16">
        <f>IF(AND($D$17 &gt;= DATE(2027,10,1), $D$17 &lt;= DATE(2027,12,31)), $C$17 * $E$17 * $F$17, 0)</f>
        <v/>
      </c>
      <c r="BS17" s="16">
        <f>IF(AND($D$17 &gt;= DATE(2028,1,1), $D$17 &lt;= DATE(2028,3,31)), $C$17 * $E$17 * $F$17, 0)</f>
        <v/>
      </c>
      <c r="BT17" s="16">
        <f>IF(AND($D$17 &gt;= DATE(2028,4,1), $D$17 &lt;= DATE(2028,6,30)), $C$17 * $E$17 * $F$17, 0)</f>
        <v/>
      </c>
      <c r="BU17" s="16">
        <f>IF(AND($D$17 &gt;= DATE(2028,7,1), $D$17 &lt;= DATE(2028,9,30)), $C$17 * $E$17 * $F$17, 0)</f>
        <v/>
      </c>
      <c r="BV17" s="16">
        <f>IF(AND($D$17 &gt;= DATE(2028,10,1), $D$17 &lt;= DATE(2028,12,31)), $C$17 * $E$17 * $F$17, 0)</f>
        <v/>
      </c>
    </row>
    <row r="18">
      <c r="B18" t="inlineStr">
        <is>
          <t>Westgate &gt; Quarry Dynamics &gt; Change Orders</t>
        </is>
      </c>
      <c r="C18" s="16" t="n">
        <v>80000</v>
      </c>
      <c r="D18" s="18" t="n">
        <v>46174</v>
      </c>
      <c r="E18" s="16" t="n">
        <v>3</v>
      </c>
      <c r="F18" s="19" t="n">
        <v>1</v>
      </c>
      <c r="G18" s="18" t="n">
        <v>46204</v>
      </c>
      <c r="H18" s="18" t="n">
        <v>46266</v>
      </c>
      <c r="I18" s="16">
        <f>$C$18 * $E$18</f>
        <v/>
      </c>
      <c r="J18" s="20">
        <f>$C$18 * $E$18 * $F$18</f>
        <v/>
      </c>
      <c r="K18" s="16">
        <f>IF(($G$18&lt;=DATE(2021,3,31))*($H$18&gt;=DATE(2021,1,1)),$C$18 * $F$18 * MAX(0, MIN((YEAR($H$18)*12+MONTH($H$18)), (YEAR(DATE(2021,3,31))*12+MONTH(DATE(2021,3,31)))) - MAX((YEAR($G$18)*12+MONTH($G$18)), (YEAR(DATE(2021,1,1))*12+MONTH(DATE(2021,1,1)))) + 1),0)</f>
        <v/>
      </c>
      <c r="L18" s="16">
        <f>IF(($G$18&lt;=DATE(2021,6,30))*($H$18&gt;=DATE(2021,4,1)),$C$18 * $F$18 * MAX(0, MIN((YEAR($H$18)*12+MONTH($H$18)), (YEAR(DATE(2021,6,30))*12+MONTH(DATE(2021,6,30)))) - MAX((YEAR($G$18)*12+MONTH($G$18)), (YEAR(DATE(2021,4,1))*12+MONTH(DATE(2021,4,1)))) + 1),0)</f>
        <v/>
      </c>
      <c r="M18" s="16">
        <f>IF(($G$18&lt;=DATE(2021,9,30))*($H$18&gt;=DATE(2021,7,1)),$C$18 * $F$18 * MAX(0, MIN((YEAR($H$18)*12+MONTH($H$18)), (YEAR(DATE(2021,9,30))*12+MONTH(DATE(2021,9,30)))) - MAX((YEAR($G$18)*12+MONTH($G$18)), (YEAR(DATE(2021,7,1))*12+MONTH(DATE(2021,7,1)))) + 1),0)</f>
        <v/>
      </c>
      <c r="N18" s="16">
        <f>IF(($G$18&lt;=DATE(2021,12,31))*($H$18&gt;=DATE(2021,10,1)),$C$18 * $F$18 * MAX(0, MIN((YEAR($H$18)*12+MONTH($H$18)), (YEAR(DATE(2021,12,31))*12+MONTH(DATE(2021,12,31)))) - MAX((YEAR($G$18)*12+MONTH($G$18)), (YEAR(DATE(2021,10,1))*12+MONTH(DATE(2021,10,1)))) + 1),0)</f>
        <v/>
      </c>
      <c r="O18" s="16">
        <f>IF(($G$18&lt;=DATE(2022,3,31))*($H$18&gt;=DATE(2022,1,1)),$C$18 * $F$18 * MAX(0, MIN((YEAR($H$18)*12+MONTH($H$18)), (YEAR(DATE(2022,3,31))*12+MONTH(DATE(2022,3,31)))) - MAX((YEAR($G$18)*12+MONTH($G$18)), (YEAR(DATE(2022,1,1))*12+MONTH(DATE(2022,1,1)))) + 1),0)</f>
        <v/>
      </c>
      <c r="P18" s="16">
        <f>IF(($G$18&lt;=DATE(2022,6,30))*($H$18&gt;=DATE(2022,4,1)),$C$18 * $F$18 * MAX(0, MIN((YEAR($H$18)*12+MONTH($H$18)), (YEAR(DATE(2022,6,30))*12+MONTH(DATE(2022,6,30)))) - MAX((YEAR($G$18)*12+MONTH($G$18)), (YEAR(DATE(2022,4,1))*12+MONTH(DATE(2022,4,1)))) + 1),0)</f>
        <v/>
      </c>
      <c r="Q18" s="16">
        <f>IF(($G$18&lt;=DATE(2022,9,30))*($H$18&gt;=DATE(2022,7,1)),$C$18 * $F$18 * MAX(0, MIN((YEAR($H$18)*12+MONTH($H$18)), (YEAR(DATE(2022,9,30))*12+MONTH(DATE(2022,9,30)))) - MAX((YEAR($G$18)*12+MONTH($G$18)), (YEAR(DATE(2022,7,1))*12+MONTH(DATE(2022,7,1)))) + 1),0)</f>
        <v/>
      </c>
      <c r="R18" s="16">
        <f>IF(($G$18&lt;=DATE(2022,12,31))*($H$18&gt;=DATE(2022,10,1)),$C$18 * $F$18 * MAX(0, MIN((YEAR($H$18)*12+MONTH($H$18)), (YEAR(DATE(2022,12,31))*12+MONTH(DATE(2022,12,31)))) - MAX((YEAR($G$18)*12+MONTH($G$18)), (YEAR(DATE(2022,10,1))*12+MONTH(DATE(2022,10,1)))) + 1),0)</f>
        <v/>
      </c>
      <c r="S18" s="16">
        <f>IF(($G$18&lt;=DATE(2023,3,31))*($H$18&gt;=DATE(2023,1,1)),$C$18 * $F$18 * MAX(0, MIN((YEAR($H$18)*12+MONTH($H$18)), (YEAR(DATE(2023,3,31))*12+MONTH(DATE(2023,3,31)))) - MAX((YEAR($G$18)*12+MONTH($G$18)), (YEAR(DATE(2023,1,1))*12+MONTH(DATE(2023,1,1)))) + 1),0)</f>
        <v/>
      </c>
      <c r="T18" s="16">
        <f>IF(($G$18&lt;=DATE(2023,6,30))*($H$18&gt;=DATE(2023,4,1)),$C$18 * $F$18 * MAX(0, MIN((YEAR($H$18)*12+MONTH($H$18)), (YEAR(DATE(2023,6,30))*12+MONTH(DATE(2023,6,30)))) - MAX((YEAR($G$18)*12+MONTH($G$18)), (YEAR(DATE(2023,4,1))*12+MONTH(DATE(2023,4,1)))) + 1),0)</f>
        <v/>
      </c>
      <c r="U18" s="16">
        <f>IF(($G$18&lt;=DATE(2023,9,30))*($H$18&gt;=DATE(2023,7,1)),$C$18 * $F$18 * MAX(0, MIN((YEAR($H$18)*12+MONTH($H$18)), (YEAR(DATE(2023,9,30))*12+MONTH(DATE(2023,9,30)))) - MAX((YEAR($G$18)*12+MONTH($G$18)), (YEAR(DATE(2023,7,1))*12+MONTH(DATE(2023,7,1)))) + 1),0)</f>
        <v/>
      </c>
      <c r="V18" s="16">
        <f>IF(($G$18&lt;=DATE(2023,12,31))*($H$18&gt;=DATE(2023,10,1)),$C$18 * $F$18 * MAX(0, MIN((YEAR($H$18)*12+MONTH($H$18)), (YEAR(DATE(2023,12,31))*12+MONTH(DATE(2023,12,31)))) - MAX((YEAR($G$18)*12+MONTH($G$18)), (YEAR(DATE(2023,10,1))*12+MONTH(DATE(2023,10,1)))) + 1),0)</f>
        <v/>
      </c>
      <c r="W18" s="16">
        <f>IF(($G$18&lt;=DATE(2024,3,31))*($H$18&gt;=DATE(2024,1,1)),$C$18 * $F$18 * MAX(0, MIN((YEAR($H$18)*12+MONTH($H$18)), (YEAR(DATE(2024,3,31))*12+MONTH(DATE(2024,3,31)))) - MAX((YEAR($G$18)*12+MONTH($G$18)), (YEAR(DATE(2024,1,1))*12+MONTH(DATE(2024,1,1)))) + 1),0)</f>
        <v/>
      </c>
      <c r="X18" s="16">
        <f>IF(($G$18&lt;=DATE(2024,6,30))*($H$18&gt;=DATE(2024,4,1)),$C$18 * $F$18 * MAX(0, MIN((YEAR($H$18)*12+MONTH($H$18)), (YEAR(DATE(2024,6,30))*12+MONTH(DATE(2024,6,30)))) - MAX((YEAR($G$18)*12+MONTH($G$18)), (YEAR(DATE(2024,4,1))*12+MONTH(DATE(2024,4,1)))) + 1),0)</f>
        <v/>
      </c>
      <c r="Y18" s="16">
        <f>IF(($G$18&lt;=DATE(2024,9,30))*($H$18&gt;=DATE(2024,7,1)),$C$18 * $F$18 * MAX(0, MIN((YEAR($H$18)*12+MONTH($H$18)), (YEAR(DATE(2024,9,30))*12+MONTH(DATE(2024,9,30)))) - MAX((YEAR($G$18)*12+MONTH($G$18)), (YEAR(DATE(2024,7,1))*12+MONTH(DATE(2024,7,1)))) + 1),0)</f>
        <v/>
      </c>
      <c r="Z18" s="16">
        <f>IF(($G$18&lt;=DATE(2024,12,31))*($H$18&gt;=DATE(2024,10,1)),$C$18 * $F$18 * MAX(0, MIN((YEAR($H$18)*12+MONTH($H$18)), (YEAR(DATE(2024,12,31))*12+MONTH(DATE(2024,12,31)))) - MAX((YEAR($G$18)*12+MONTH($G$18)), (YEAR(DATE(2024,10,1))*12+MONTH(DATE(2024,10,1)))) + 1),0)</f>
        <v/>
      </c>
      <c r="AA18" s="16">
        <f>IF(($G$18&lt;=DATE(2025,3,31))*($H$18&gt;=DATE(2025,1,1)),$C$18 * $F$18 * MAX(0, MIN((YEAR($H$18)*12+MONTH($H$18)), (YEAR(DATE(2025,3,31))*12+MONTH(DATE(2025,3,31)))) - MAX((YEAR($G$18)*12+MONTH($G$18)), (YEAR(DATE(2025,1,1))*12+MONTH(DATE(2025,1,1)))) + 1),0)</f>
        <v/>
      </c>
      <c r="AB18" s="16">
        <f>IF(($G$18&lt;=DATE(2025,6,30))*($H$18&gt;=DATE(2025,4,1)),$C$18 * $F$18 * MAX(0, MIN((YEAR($H$18)*12+MONTH($H$18)), (YEAR(DATE(2025,6,30))*12+MONTH(DATE(2025,6,30)))) - MAX((YEAR($G$18)*12+MONTH($G$18)), (YEAR(DATE(2025,4,1))*12+MONTH(DATE(2025,4,1)))) + 1),0)</f>
        <v/>
      </c>
      <c r="AC18" s="16">
        <f>IF(($G$18&lt;=DATE(2025,9,30))*($H$18&gt;=DATE(2025,7,1)),$C$18 * $F$18 * MAX(0, MIN((YEAR($H$18)*12+MONTH($H$18)), (YEAR(DATE(2025,9,30))*12+MONTH(DATE(2025,9,30)))) - MAX((YEAR($G$18)*12+MONTH($G$18)), (YEAR(DATE(2025,7,1))*12+MONTH(DATE(2025,7,1)))) + 1),0)</f>
        <v/>
      </c>
      <c r="AD18" s="16">
        <f>IF(($G$18&lt;=DATE(2025,12,31))*($H$18&gt;=DATE(2025,10,1)),$C$18 * $F$18 * MAX(0, MIN((YEAR($H$18)*12+MONTH($H$18)), (YEAR(DATE(2025,12,31))*12+MONTH(DATE(2025,12,31)))) - MAX((YEAR($G$18)*12+MONTH($G$18)), (YEAR(DATE(2025,10,1))*12+MONTH(DATE(2025,10,1)))) + 1),0)</f>
        <v/>
      </c>
      <c r="AE18" s="16">
        <f>IF(($G$18&lt;=DATE(2026,3,31))*($H$18&gt;=DATE(2026,1,1)),$C$18 * $F$18 * MAX(0, MIN((YEAR($H$18)*12+MONTH($H$18)), (YEAR(DATE(2026,3,31))*12+MONTH(DATE(2026,3,31)))) - MAX((YEAR($G$18)*12+MONTH($G$18)), (YEAR(DATE(2026,1,1))*12+MONTH(DATE(2026,1,1)))) + 1),0)</f>
        <v/>
      </c>
      <c r="AF18" s="16">
        <f>IF(($G$18&lt;=DATE(2026,6,30))*($H$18&gt;=DATE(2026,4,1)),$C$18 * $F$18 * MAX(0, MIN((YEAR($H$18)*12+MONTH($H$18)), (YEAR(DATE(2026,6,30))*12+MONTH(DATE(2026,6,30)))) - MAX((YEAR($G$18)*12+MONTH($G$18)), (YEAR(DATE(2026,4,1))*12+MONTH(DATE(2026,4,1)))) + 1),0)</f>
        <v/>
      </c>
      <c r="AG18" s="16">
        <f>IF(($G$18&lt;=DATE(2026,9,30))*($H$18&gt;=DATE(2026,7,1)),$C$18 * $F$18 * MAX(0, MIN((YEAR($H$18)*12+MONTH($H$18)), (YEAR(DATE(2026,9,30))*12+MONTH(DATE(2026,9,30)))) - MAX((YEAR($G$18)*12+MONTH($G$18)), (YEAR(DATE(2026,7,1))*12+MONTH(DATE(2026,7,1)))) + 1),0)</f>
        <v/>
      </c>
      <c r="AH18" s="16">
        <f>IF(($G$18&lt;=DATE(2026,12,31))*($H$18&gt;=DATE(2026,10,1)),$C$18 * $F$18 * MAX(0, MIN((YEAR($H$18)*12+MONTH($H$18)), (YEAR(DATE(2026,12,31))*12+MONTH(DATE(2026,12,31)))) - MAX((YEAR($G$18)*12+MONTH($G$18)), (YEAR(DATE(2026,10,1))*12+MONTH(DATE(2026,10,1)))) + 1),0)</f>
        <v/>
      </c>
      <c r="AI18" s="16">
        <f>IF(($G$18&lt;=DATE(2027,3,31))*($H$18&gt;=DATE(2027,1,1)),$C$18 * $F$18 * MAX(0, MIN((YEAR($H$18)*12+MONTH($H$18)), (YEAR(DATE(2027,3,31))*12+MONTH(DATE(2027,3,31)))) - MAX((YEAR($G$18)*12+MONTH($G$18)), (YEAR(DATE(2027,1,1))*12+MONTH(DATE(2027,1,1)))) + 1),0)</f>
        <v/>
      </c>
      <c r="AJ18" s="16">
        <f>IF(($G$18&lt;=DATE(2027,6,30))*($H$18&gt;=DATE(2027,4,1)),$C$18 * $F$18 * MAX(0, MIN((YEAR($H$18)*12+MONTH($H$18)), (YEAR(DATE(2027,6,30))*12+MONTH(DATE(2027,6,30)))) - MAX((YEAR($G$18)*12+MONTH($G$18)), (YEAR(DATE(2027,4,1))*12+MONTH(DATE(2027,4,1)))) + 1),0)</f>
        <v/>
      </c>
      <c r="AK18" s="16">
        <f>IF(($G$18&lt;=DATE(2027,9,30))*($H$18&gt;=DATE(2027,7,1)),$C$18 * $F$18 * MAX(0, MIN((YEAR($H$18)*12+MONTH($H$18)), (YEAR(DATE(2027,9,30))*12+MONTH(DATE(2027,9,30)))) - MAX((YEAR($G$18)*12+MONTH($G$18)), (YEAR(DATE(2027,7,1))*12+MONTH(DATE(2027,7,1)))) + 1),0)</f>
        <v/>
      </c>
      <c r="AL18" s="16">
        <f>IF(($G$18&lt;=DATE(2027,12,31))*($H$18&gt;=DATE(2027,10,1)),$C$18 * $F$18 * MAX(0, MIN((YEAR($H$18)*12+MONTH($H$18)), (YEAR(DATE(2027,12,31))*12+MONTH(DATE(2027,12,31)))) - MAX((YEAR($G$18)*12+MONTH($G$18)), (YEAR(DATE(2027,10,1))*12+MONTH(DATE(2027,10,1)))) + 1),0)</f>
        <v/>
      </c>
      <c r="AM18" s="16">
        <f>IF(($G$18&lt;=DATE(2028,3,31))*($H$18&gt;=DATE(2028,1,1)),$C$18 * $F$18 * MAX(0, MIN((YEAR($H$18)*12+MONTH($H$18)), (YEAR(DATE(2028,3,31))*12+MONTH(DATE(2028,3,31)))) - MAX((YEAR($G$18)*12+MONTH($G$18)), (YEAR(DATE(2028,1,1))*12+MONTH(DATE(2028,1,1)))) + 1),0)</f>
        <v/>
      </c>
      <c r="AN18" s="16">
        <f>IF(($G$18&lt;=DATE(2028,6,30))*($H$18&gt;=DATE(2028,4,1)),$C$18 * $F$18 * MAX(0, MIN((YEAR($H$18)*12+MONTH($H$18)), (YEAR(DATE(2028,6,30))*12+MONTH(DATE(2028,6,30)))) - MAX((YEAR($G$18)*12+MONTH($G$18)), (YEAR(DATE(2028,4,1))*12+MONTH(DATE(2028,4,1)))) + 1),0)</f>
        <v/>
      </c>
      <c r="AO18" s="16">
        <f>IF(($G$18&lt;=DATE(2028,9,30))*($H$18&gt;=DATE(2028,7,1)),$C$18 * $F$18 * MAX(0, MIN((YEAR($H$18)*12+MONTH($H$18)), (YEAR(DATE(2028,9,30))*12+MONTH(DATE(2028,9,30)))) - MAX((YEAR($G$18)*12+MONTH($G$18)), (YEAR(DATE(2028,7,1))*12+MONTH(DATE(2028,7,1)))) + 1),0)</f>
        <v/>
      </c>
      <c r="AP18" s="16">
        <f>IF(($G$18&lt;=DATE(2028,12,31))*($H$18&gt;=DATE(2028,10,1)),$C$18 * $F$18 * MAX(0, MIN((YEAR($H$18)*12+MONTH($H$18)), (YEAR(DATE(2028,12,31))*12+MONTH(DATE(2028,12,31)))) - MAX((YEAR($G$18)*12+MONTH($G$18)), (YEAR(DATE(2028,10,1))*12+MONTH(DATE(2028,10,1)))) + 1),0)</f>
        <v/>
      </c>
      <c r="AQ18" s="16">
        <f>IF(AND($D$18 &gt;= DATE(2021,1,1), $D$18 &lt;= DATE(2021,3,31)), $C$18 * $E$18 * $F$18, 0)</f>
        <v/>
      </c>
      <c r="AR18" s="16">
        <f>IF(AND($D$18 &gt;= DATE(2021,4,1), $D$18 &lt;= DATE(2021,6,30)), $C$18 * $E$18 * $F$18, 0)</f>
        <v/>
      </c>
      <c r="AS18" s="16">
        <f>IF(AND($D$18 &gt;= DATE(2021,7,1), $D$18 &lt;= DATE(2021,9,30)), $C$18 * $E$18 * $F$18, 0)</f>
        <v/>
      </c>
      <c r="AT18" s="16">
        <f>IF(AND($D$18 &gt;= DATE(2021,10,1), $D$18 &lt;= DATE(2021,12,31)), $C$18 * $E$18 * $F$18, 0)</f>
        <v/>
      </c>
      <c r="AU18" s="16">
        <f>IF(AND($D$18 &gt;= DATE(2022,1,1), $D$18 &lt;= DATE(2022,3,31)), $C$18 * $E$18 * $F$18, 0)</f>
        <v/>
      </c>
      <c r="AV18" s="16">
        <f>IF(AND($D$18 &gt;= DATE(2022,4,1), $D$18 &lt;= DATE(2022,6,30)), $C$18 * $E$18 * $F$18, 0)</f>
        <v/>
      </c>
      <c r="AW18" s="16">
        <f>IF(AND($D$18 &gt;= DATE(2022,7,1), $D$18 &lt;= DATE(2022,9,30)), $C$18 * $E$18 * $F$18, 0)</f>
        <v/>
      </c>
      <c r="AX18" s="16">
        <f>IF(AND($D$18 &gt;= DATE(2022,10,1), $D$18 &lt;= DATE(2022,12,31)), $C$18 * $E$18 * $F$18, 0)</f>
        <v/>
      </c>
      <c r="AY18" s="16">
        <f>IF(AND($D$18 &gt;= DATE(2023,1,1), $D$18 &lt;= DATE(2023,3,31)), $C$18 * $E$18 * $F$18, 0)</f>
        <v/>
      </c>
      <c r="AZ18" s="16">
        <f>IF(AND($D$18 &gt;= DATE(2023,4,1), $D$18 &lt;= DATE(2023,6,30)), $C$18 * $E$18 * $F$18, 0)</f>
        <v/>
      </c>
      <c r="BA18" s="16">
        <f>IF(AND($D$18 &gt;= DATE(2023,7,1), $D$18 &lt;= DATE(2023,9,30)), $C$18 * $E$18 * $F$18, 0)</f>
        <v/>
      </c>
      <c r="BB18" s="16">
        <f>IF(AND($D$18 &gt;= DATE(2023,10,1), $D$18 &lt;= DATE(2023,12,31)), $C$18 * $E$18 * $F$18, 0)</f>
        <v/>
      </c>
      <c r="BC18" s="16">
        <f>IF(AND($D$18 &gt;= DATE(2024,1,1), $D$18 &lt;= DATE(2024,3,31)), $C$18 * $E$18 * $F$18, 0)</f>
        <v/>
      </c>
      <c r="BD18" s="16">
        <f>IF(AND($D$18 &gt;= DATE(2024,4,1), $D$18 &lt;= DATE(2024,6,30)), $C$18 * $E$18 * $F$18, 0)</f>
        <v/>
      </c>
      <c r="BE18" s="16">
        <f>IF(AND($D$18 &gt;= DATE(2024,7,1), $D$18 &lt;= DATE(2024,9,30)), $C$18 * $E$18 * $F$18, 0)</f>
        <v/>
      </c>
      <c r="BF18" s="16">
        <f>IF(AND($D$18 &gt;= DATE(2024,10,1), $D$18 &lt;= DATE(2024,12,31)), $C$18 * $E$18 * $F$18, 0)</f>
        <v/>
      </c>
      <c r="BG18" s="16">
        <f>IF(AND($D$18 &gt;= DATE(2025,1,1), $D$18 &lt;= DATE(2025,3,31)), $C$18 * $E$18 * $F$18, 0)</f>
        <v/>
      </c>
      <c r="BH18" s="16">
        <f>IF(AND($D$18 &gt;= DATE(2025,4,1), $D$18 &lt;= DATE(2025,6,30)), $C$18 * $E$18 * $F$18, 0)</f>
        <v/>
      </c>
      <c r="BI18" s="16">
        <f>IF(AND($D$18 &gt;= DATE(2025,7,1), $D$18 &lt;= DATE(2025,9,30)), $C$18 * $E$18 * $F$18, 0)</f>
        <v/>
      </c>
      <c r="BJ18" s="16">
        <f>IF(AND($D$18 &gt;= DATE(2025,10,1), $D$18 &lt;= DATE(2025,12,31)), $C$18 * $E$18 * $F$18, 0)</f>
        <v/>
      </c>
      <c r="BK18" s="16">
        <f>IF(AND($D$18 &gt;= DATE(2026,1,1), $D$18 &lt;= DATE(2026,3,31)), $C$18 * $E$18 * $F$18, 0)</f>
        <v/>
      </c>
      <c r="BL18" s="16">
        <f>IF(AND($D$18 &gt;= DATE(2026,4,1), $D$18 &lt;= DATE(2026,6,30)), $C$18 * $E$18 * $F$18, 0)</f>
        <v/>
      </c>
      <c r="BM18" s="16">
        <f>IF(AND($D$18 &gt;= DATE(2026,7,1), $D$18 &lt;= DATE(2026,9,30)), $C$18 * $E$18 * $F$18, 0)</f>
        <v/>
      </c>
      <c r="BN18" s="16">
        <f>IF(AND($D$18 &gt;= DATE(2026,10,1), $D$18 &lt;= DATE(2026,12,31)), $C$18 * $E$18 * $F$18, 0)</f>
        <v/>
      </c>
      <c r="BO18" s="16">
        <f>IF(AND($D$18 &gt;= DATE(2027,1,1), $D$18 &lt;= DATE(2027,3,31)), $C$18 * $E$18 * $F$18, 0)</f>
        <v/>
      </c>
      <c r="BP18" s="16">
        <f>IF(AND($D$18 &gt;= DATE(2027,4,1), $D$18 &lt;= DATE(2027,6,30)), $C$18 * $E$18 * $F$18, 0)</f>
        <v/>
      </c>
      <c r="BQ18" s="16">
        <f>IF(AND($D$18 &gt;= DATE(2027,7,1), $D$18 &lt;= DATE(2027,9,30)), $C$18 * $E$18 * $F$18, 0)</f>
        <v/>
      </c>
      <c r="BR18" s="16">
        <f>IF(AND($D$18 &gt;= DATE(2027,10,1), $D$18 &lt;= DATE(2027,12,31)), $C$18 * $E$18 * $F$18, 0)</f>
        <v/>
      </c>
      <c r="BS18" s="16">
        <f>IF(AND($D$18 &gt;= DATE(2028,1,1), $D$18 &lt;= DATE(2028,3,31)), $C$18 * $E$18 * $F$18, 0)</f>
        <v/>
      </c>
      <c r="BT18" s="16">
        <f>IF(AND($D$18 &gt;= DATE(2028,4,1), $D$18 &lt;= DATE(2028,6,30)), $C$18 * $E$18 * $F$18, 0)</f>
        <v/>
      </c>
      <c r="BU18" s="16">
        <f>IF(AND($D$18 &gt;= DATE(2028,7,1), $D$18 &lt;= DATE(2028,9,30)), $C$18 * $E$18 * $F$18, 0)</f>
        <v/>
      </c>
      <c r="BV18" s="16">
        <f>IF(AND($D$18 &gt;= DATE(2028,10,1), $D$18 &lt;= DATE(2028,12,31)), $C$18 * $E$18 * $F$18, 0)</f>
        <v/>
      </c>
    </row>
    <row r="19">
      <c r="B19" t="inlineStr">
        <is>
          <t>Westgate &gt; Vantage Power &gt; Second Development Round</t>
        </is>
      </c>
      <c r="C19" s="16" t="n">
        <v>140000</v>
      </c>
      <c r="D19" s="18" t="n">
        <v>46235</v>
      </c>
      <c r="E19" s="16" t="n">
        <v>4</v>
      </c>
      <c r="F19" s="19" t="n">
        <v>0.8</v>
      </c>
      <c r="G19" s="18" t="n">
        <v>46266</v>
      </c>
      <c r="H19" s="18" t="n">
        <v>46357</v>
      </c>
      <c r="I19" s="16">
        <f>$C$19 * $E$19</f>
        <v/>
      </c>
      <c r="J19" s="20">
        <f>$C$19 * $E$19 * $F$19</f>
        <v/>
      </c>
      <c r="K19" s="16">
        <f>IF(($G$19&lt;=DATE(2021,3,31))*($H$19&gt;=DATE(2021,1,1)),$C$19 * $F$19 * MAX(0, MIN((YEAR($H$19)*12+MONTH($H$19)), (YEAR(DATE(2021,3,31))*12+MONTH(DATE(2021,3,31)))) - MAX((YEAR($G$19)*12+MONTH($G$19)), (YEAR(DATE(2021,1,1))*12+MONTH(DATE(2021,1,1)))) + 1),0)</f>
        <v/>
      </c>
      <c r="L19" s="16">
        <f>IF(($G$19&lt;=DATE(2021,6,30))*($H$19&gt;=DATE(2021,4,1)),$C$19 * $F$19 * MAX(0, MIN((YEAR($H$19)*12+MONTH($H$19)), (YEAR(DATE(2021,6,30))*12+MONTH(DATE(2021,6,30)))) - MAX((YEAR($G$19)*12+MONTH($G$19)), (YEAR(DATE(2021,4,1))*12+MONTH(DATE(2021,4,1)))) + 1),0)</f>
        <v/>
      </c>
      <c r="M19" s="16">
        <f>IF(($G$19&lt;=DATE(2021,9,30))*($H$19&gt;=DATE(2021,7,1)),$C$19 * $F$19 * MAX(0, MIN((YEAR($H$19)*12+MONTH($H$19)), (YEAR(DATE(2021,9,30))*12+MONTH(DATE(2021,9,30)))) - MAX((YEAR($G$19)*12+MONTH($G$19)), (YEAR(DATE(2021,7,1))*12+MONTH(DATE(2021,7,1)))) + 1),0)</f>
        <v/>
      </c>
      <c r="N19" s="16">
        <f>IF(($G$19&lt;=DATE(2021,12,31))*($H$19&gt;=DATE(2021,10,1)),$C$19 * $F$19 * MAX(0, MIN((YEAR($H$19)*12+MONTH($H$19)), (YEAR(DATE(2021,12,31))*12+MONTH(DATE(2021,12,31)))) - MAX((YEAR($G$19)*12+MONTH($G$19)), (YEAR(DATE(2021,10,1))*12+MONTH(DATE(2021,10,1)))) + 1),0)</f>
        <v/>
      </c>
      <c r="O19" s="16">
        <f>IF(($G$19&lt;=DATE(2022,3,31))*($H$19&gt;=DATE(2022,1,1)),$C$19 * $F$19 * MAX(0, MIN((YEAR($H$19)*12+MONTH($H$19)), (YEAR(DATE(2022,3,31))*12+MONTH(DATE(2022,3,31)))) - MAX((YEAR($G$19)*12+MONTH($G$19)), (YEAR(DATE(2022,1,1))*12+MONTH(DATE(2022,1,1)))) + 1),0)</f>
        <v/>
      </c>
      <c r="P19" s="16">
        <f>IF(($G$19&lt;=DATE(2022,6,30))*($H$19&gt;=DATE(2022,4,1)),$C$19 * $F$19 * MAX(0, MIN((YEAR($H$19)*12+MONTH($H$19)), (YEAR(DATE(2022,6,30))*12+MONTH(DATE(2022,6,30)))) - MAX((YEAR($G$19)*12+MONTH($G$19)), (YEAR(DATE(2022,4,1))*12+MONTH(DATE(2022,4,1)))) + 1),0)</f>
        <v/>
      </c>
      <c r="Q19" s="16">
        <f>IF(($G$19&lt;=DATE(2022,9,30))*($H$19&gt;=DATE(2022,7,1)),$C$19 * $F$19 * MAX(0, MIN((YEAR($H$19)*12+MONTH($H$19)), (YEAR(DATE(2022,9,30))*12+MONTH(DATE(2022,9,30)))) - MAX((YEAR($G$19)*12+MONTH($G$19)), (YEAR(DATE(2022,7,1))*12+MONTH(DATE(2022,7,1)))) + 1),0)</f>
        <v/>
      </c>
      <c r="R19" s="16">
        <f>IF(($G$19&lt;=DATE(2022,12,31))*($H$19&gt;=DATE(2022,10,1)),$C$19 * $F$19 * MAX(0, MIN((YEAR($H$19)*12+MONTH($H$19)), (YEAR(DATE(2022,12,31))*12+MONTH(DATE(2022,12,31)))) - MAX((YEAR($G$19)*12+MONTH($G$19)), (YEAR(DATE(2022,10,1))*12+MONTH(DATE(2022,10,1)))) + 1),0)</f>
        <v/>
      </c>
      <c r="S19" s="16">
        <f>IF(($G$19&lt;=DATE(2023,3,31))*($H$19&gt;=DATE(2023,1,1)),$C$19 * $F$19 * MAX(0, MIN((YEAR($H$19)*12+MONTH($H$19)), (YEAR(DATE(2023,3,31))*12+MONTH(DATE(2023,3,31)))) - MAX((YEAR($G$19)*12+MONTH($G$19)), (YEAR(DATE(2023,1,1))*12+MONTH(DATE(2023,1,1)))) + 1),0)</f>
        <v/>
      </c>
      <c r="T19" s="16">
        <f>IF(($G$19&lt;=DATE(2023,6,30))*($H$19&gt;=DATE(2023,4,1)),$C$19 * $F$19 * MAX(0, MIN((YEAR($H$19)*12+MONTH($H$19)), (YEAR(DATE(2023,6,30))*12+MONTH(DATE(2023,6,30)))) - MAX((YEAR($G$19)*12+MONTH($G$19)), (YEAR(DATE(2023,4,1))*12+MONTH(DATE(2023,4,1)))) + 1),0)</f>
        <v/>
      </c>
      <c r="U19" s="16">
        <f>IF(($G$19&lt;=DATE(2023,9,30))*($H$19&gt;=DATE(2023,7,1)),$C$19 * $F$19 * MAX(0, MIN((YEAR($H$19)*12+MONTH($H$19)), (YEAR(DATE(2023,9,30))*12+MONTH(DATE(2023,9,30)))) - MAX((YEAR($G$19)*12+MONTH($G$19)), (YEAR(DATE(2023,7,1))*12+MONTH(DATE(2023,7,1)))) + 1),0)</f>
        <v/>
      </c>
      <c r="V19" s="16">
        <f>IF(($G$19&lt;=DATE(2023,12,31))*($H$19&gt;=DATE(2023,10,1)),$C$19 * $F$19 * MAX(0, MIN((YEAR($H$19)*12+MONTH($H$19)), (YEAR(DATE(2023,12,31))*12+MONTH(DATE(2023,12,31)))) - MAX((YEAR($G$19)*12+MONTH($G$19)), (YEAR(DATE(2023,10,1))*12+MONTH(DATE(2023,10,1)))) + 1),0)</f>
        <v/>
      </c>
      <c r="W19" s="16">
        <f>IF(($G$19&lt;=DATE(2024,3,31))*($H$19&gt;=DATE(2024,1,1)),$C$19 * $F$19 * MAX(0, MIN((YEAR($H$19)*12+MONTH($H$19)), (YEAR(DATE(2024,3,31))*12+MONTH(DATE(2024,3,31)))) - MAX((YEAR($G$19)*12+MONTH($G$19)), (YEAR(DATE(2024,1,1))*12+MONTH(DATE(2024,1,1)))) + 1),0)</f>
        <v/>
      </c>
      <c r="X19" s="16">
        <f>IF(($G$19&lt;=DATE(2024,6,30))*($H$19&gt;=DATE(2024,4,1)),$C$19 * $F$19 * MAX(0, MIN((YEAR($H$19)*12+MONTH($H$19)), (YEAR(DATE(2024,6,30))*12+MONTH(DATE(2024,6,30)))) - MAX((YEAR($G$19)*12+MONTH($G$19)), (YEAR(DATE(2024,4,1))*12+MONTH(DATE(2024,4,1)))) + 1),0)</f>
        <v/>
      </c>
      <c r="Y19" s="16">
        <f>IF(($G$19&lt;=DATE(2024,9,30))*($H$19&gt;=DATE(2024,7,1)),$C$19 * $F$19 * MAX(0, MIN((YEAR($H$19)*12+MONTH($H$19)), (YEAR(DATE(2024,9,30))*12+MONTH(DATE(2024,9,30)))) - MAX((YEAR($G$19)*12+MONTH($G$19)), (YEAR(DATE(2024,7,1))*12+MONTH(DATE(2024,7,1)))) + 1),0)</f>
        <v/>
      </c>
      <c r="Z19" s="16">
        <f>IF(($G$19&lt;=DATE(2024,12,31))*($H$19&gt;=DATE(2024,10,1)),$C$19 * $F$19 * MAX(0, MIN((YEAR($H$19)*12+MONTH($H$19)), (YEAR(DATE(2024,12,31))*12+MONTH(DATE(2024,12,31)))) - MAX((YEAR($G$19)*12+MONTH($G$19)), (YEAR(DATE(2024,10,1))*12+MONTH(DATE(2024,10,1)))) + 1),0)</f>
        <v/>
      </c>
      <c r="AA19" s="16">
        <f>IF(($G$19&lt;=DATE(2025,3,31))*($H$19&gt;=DATE(2025,1,1)),$C$19 * $F$19 * MAX(0, MIN((YEAR($H$19)*12+MONTH($H$19)), (YEAR(DATE(2025,3,31))*12+MONTH(DATE(2025,3,31)))) - MAX((YEAR($G$19)*12+MONTH($G$19)), (YEAR(DATE(2025,1,1))*12+MONTH(DATE(2025,1,1)))) + 1),0)</f>
        <v/>
      </c>
      <c r="AB19" s="16">
        <f>IF(($G$19&lt;=DATE(2025,6,30))*($H$19&gt;=DATE(2025,4,1)),$C$19 * $F$19 * MAX(0, MIN((YEAR($H$19)*12+MONTH($H$19)), (YEAR(DATE(2025,6,30))*12+MONTH(DATE(2025,6,30)))) - MAX((YEAR($G$19)*12+MONTH($G$19)), (YEAR(DATE(2025,4,1))*12+MONTH(DATE(2025,4,1)))) + 1),0)</f>
        <v/>
      </c>
      <c r="AC19" s="16">
        <f>IF(($G$19&lt;=DATE(2025,9,30))*($H$19&gt;=DATE(2025,7,1)),$C$19 * $F$19 * MAX(0, MIN((YEAR($H$19)*12+MONTH($H$19)), (YEAR(DATE(2025,9,30))*12+MONTH(DATE(2025,9,30)))) - MAX((YEAR($G$19)*12+MONTH($G$19)), (YEAR(DATE(2025,7,1))*12+MONTH(DATE(2025,7,1)))) + 1),0)</f>
        <v/>
      </c>
      <c r="AD19" s="16">
        <f>IF(($G$19&lt;=DATE(2025,12,31))*($H$19&gt;=DATE(2025,10,1)),$C$19 * $F$19 * MAX(0, MIN((YEAR($H$19)*12+MONTH($H$19)), (YEAR(DATE(2025,12,31))*12+MONTH(DATE(2025,12,31)))) - MAX((YEAR($G$19)*12+MONTH($G$19)), (YEAR(DATE(2025,10,1))*12+MONTH(DATE(2025,10,1)))) + 1),0)</f>
        <v/>
      </c>
      <c r="AE19" s="16">
        <f>IF(($G$19&lt;=DATE(2026,3,31))*($H$19&gt;=DATE(2026,1,1)),$C$19 * $F$19 * MAX(0, MIN((YEAR($H$19)*12+MONTH($H$19)), (YEAR(DATE(2026,3,31))*12+MONTH(DATE(2026,3,31)))) - MAX((YEAR($G$19)*12+MONTH($G$19)), (YEAR(DATE(2026,1,1))*12+MONTH(DATE(2026,1,1)))) + 1),0)</f>
        <v/>
      </c>
      <c r="AF19" s="16">
        <f>IF(($G$19&lt;=DATE(2026,6,30))*($H$19&gt;=DATE(2026,4,1)),$C$19 * $F$19 * MAX(0, MIN((YEAR($H$19)*12+MONTH($H$19)), (YEAR(DATE(2026,6,30))*12+MONTH(DATE(2026,6,30)))) - MAX((YEAR($G$19)*12+MONTH($G$19)), (YEAR(DATE(2026,4,1))*12+MONTH(DATE(2026,4,1)))) + 1),0)</f>
        <v/>
      </c>
      <c r="AG19" s="16">
        <f>IF(($G$19&lt;=DATE(2026,9,30))*($H$19&gt;=DATE(2026,7,1)),$C$19 * $F$19 * MAX(0, MIN((YEAR($H$19)*12+MONTH($H$19)), (YEAR(DATE(2026,9,30))*12+MONTH(DATE(2026,9,30)))) - MAX((YEAR($G$19)*12+MONTH($G$19)), (YEAR(DATE(2026,7,1))*12+MONTH(DATE(2026,7,1)))) + 1),0)</f>
        <v/>
      </c>
      <c r="AH19" s="16">
        <f>IF(($G$19&lt;=DATE(2026,12,31))*($H$19&gt;=DATE(2026,10,1)),$C$19 * $F$19 * MAX(0, MIN((YEAR($H$19)*12+MONTH($H$19)), (YEAR(DATE(2026,12,31))*12+MONTH(DATE(2026,12,31)))) - MAX((YEAR($G$19)*12+MONTH($G$19)), (YEAR(DATE(2026,10,1))*12+MONTH(DATE(2026,10,1)))) + 1),0)</f>
        <v/>
      </c>
      <c r="AI19" s="16">
        <f>IF(($G$19&lt;=DATE(2027,3,31))*($H$19&gt;=DATE(2027,1,1)),$C$19 * $F$19 * MAX(0, MIN((YEAR($H$19)*12+MONTH($H$19)), (YEAR(DATE(2027,3,31))*12+MONTH(DATE(2027,3,31)))) - MAX((YEAR($G$19)*12+MONTH($G$19)), (YEAR(DATE(2027,1,1))*12+MONTH(DATE(2027,1,1)))) + 1),0)</f>
        <v/>
      </c>
      <c r="AJ19" s="16">
        <f>IF(($G$19&lt;=DATE(2027,6,30))*($H$19&gt;=DATE(2027,4,1)),$C$19 * $F$19 * MAX(0, MIN((YEAR($H$19)*12+MONTH($H$19)), (YEAR(DATE(2027,6,30))*12+MONTH(DATE(2027,6,30)))) - MAX((YEAR($G$19)*12+MONTH($G$19)), (YEAR(DATE(2027,4,1))*12+MONTH(DATE(2027,4,1)))) + 1),0)</f>
        <v/>
      </c>
      <c r="AK19" s="16">
        <f>IF(($G$19&lt;=DATE(2027,9,30))*($H$19&gt;=DATE(2027,7,1)),$C$19 * $F$19 * MAX(0, MIN((YEAR($H$19)*12+MONTH($H$19)), (YEAR(DATE(2027,9,30))*12+MONTH(DATE(2027,9,30)))) - MAX((YEAR($G$19)*12+MONTH($G$19)), (YEAR(DATE(2027,7,1))*12+MONTH(DATE(2027,7,1)))) + 1),0)</f>
        <v/>
      </c>
      <c r="AL19" s="16">
        <f>IF(($G$19&lt;=DATE(2027,12,31))*($H$19&gt;=DATE(2027,10,1)),$C$19 * $F$19 * MAX(0, MIN((YEAR($H$19)*12+MONTH($H$19)), (YEAR(DATE(2027,12,31))*12+MONTH(DATE(2027,12,31)))) - MAX((YEAR($G$19)*12+MONTH($G$19)), (YEAR(DATE(2027,10,1))*12+MONTH(DATE(2027,10,1)))) + 1),0)</f>
        <v/>
      </c>
      <c r="AM19" s="16">
        <f>IF(($G$19&lt;=DATE(2028,3,31))*($H$19&gt;=DATE(2028,1,1)),$C$19 * $F$19 * MAX(0, MIN((YEAR($H$19)*12+MONTH($H$19)), (YEAR(DATE(2028,3,31))*12+MONTH(DATE(2028,3,31)))) - MAX((YEAR($G$19)*12+MONTH($G$19)), (YEAR(DATE(2028,1,1))*12+MONTH(DATE(2028,1,1)))) + 1),0)</f>
        <v/>
      </c>
      <c r="AN19" s="16">
        <f>IF(($G$19&lt;=DATE(2028,6,30))*($H$19&gt;=DATE(2028,4,1)),$C$19 * $F$19 * MAX(0, MIN((YEAR($H$19)*12+MONTH($H$19)), (YEAR(DATE(2028,6,30))*12+MONTH(DATE(2028,6,30)))) - MAX((YEAR($G$19)*12+MONTH($G$19)), (YEAR(DATE(2028,4,1))*12+MONTH(DATE(2028,4,1)))) + 1),0)</f>
        <v/>
      </c>
      <c r="AO19" s="16">
        <f>IF(($G$19&lt;=DATE(2028,9,30))*($H$19&gt;=DATE(2028,7,1)),$C$19 * $F$19 * MAX(0, MIN((YEAR($H$19)*12+MONTH($H$19)), (YEAR(DATE(2028,9,30))*12+MONTH(DATE(2028,9,30)))) - MAX((YEAR($G$19)*12+MONTH($G$19)), (YEAR(DATE(2028,7,1))*12+MONTH(DATE(2028,7,1)))) + 1),0)</f>
        <v/>
      </c>
      <c r="AP19" s="16">
        <f>IF(($G$19&lt;=DATE(2028,12,31))*($H$19&gt;=DATE(2028,10,1)),$C$19 * $F$19 * MAX(0, MIN((YEAR($H$19)*12+MONTH($H$19)), (YEAR(DATE(2028,12,31))*12+MONTH(DATE(2028,12,31)))) - MAX((YEAR($G$19)*12+MONTH($G$19)), (YEAR(DATE(2028,10,1))*12+MONTH(DATE(2028,10,1)))) + 1),0)</f>
        <v/>
      </c>
      <c r="AQ19" s="16">
        <f>IF(AND($D$19 &gt;= DATE(2021,1,1), $D$19 &lt;= DATE(2021,3,31)), $C$19 * $E$19 * $F$19, 0)</f>
        <v/>
      </c>
      <c r="AR19" s="16">
        <f>IF(AND($D$19 &gt;= DATE(2021,4,1), $D$19 &lt;= DATE(2021,6,30)), $C$19 * $E$19 * $F$19, 0)</f>
        <v/>
      </c>
      <c r="AS19" s="16">
        <f>IF(AND($D$19 &gt;= DATE(2021,7,1), $D$19 &lt;= DATE(2021,9,30)), $C$19 * $E$19 * $F$19, 0)</f>
        <v/>
      </c>
      <c r="AT19" s="16">
        <f>IF(AND($D$19 &gt;= DATE(2021,10,1), $D$19 &lt;= DATE(2021,12,31)), $C$19 * $E$19 * $F$19, 0)</f>
        <v/>
      </c>
      <c r="AU19" s="16">
        <f>IF(AND($D$19 &gt;= DATE(2022,1,1), $D$19 &lt;= DATE(2022,3,31)), $C$19 * $E$19 * $F$19, 0)</f>
        <v/>
      </c>
      <c r="AV19" s="16">
        <f>IF(AND($D$19 &gt;= DATE(2022,4,1), $D$19 &lt;= DATE(2022,6,30)), $C$19 * $E$19 * $F$19, 0)</f>
        <v/>
      </c>
      <c r="AW19" s="16">
        <f>IF(AND($D$19 &gt;= DATE(2022,7,1), $D$19 &lt;= DATE(2022,9,30)), $C$19 * $E$19 * $F$19, 0)</f>
        <v/>
      </c>
      <c r="AX19" s="16">
        <f>IF(AND($D$19 &gt;= DATE(2022,10,1), $D$19 &lt;= DATE(2022,12,31)), $C$19 * $E$19 * $F$19, 0)</f>
        <v/>
      </c>
      <c r="AY19" s="16">
        <f>IF(AND($D$19 &gt;= DATE(2023,1,1), $D$19 &lt;= DATE(2023,3,31)), $C$19 * $E$19 * $F$19, 0)</f>
        <v/>
      </c>
      <c r="AZ19" s="16">
        <f>IF(AND($D$19 &gt;= DATE(2023,4,1), $D$19 &lt;= DATE(2023,6,30)), $C$19 * $E$19 * $F$19, 0)</f>
        <v/>
      </c>
      <c r="BA19" s="16">
        <f>IF(AND($D$19 &gt;= DATE(2023,7,1), $D$19 &lt;= DATE(2023,9,30)), $C$19 * $E$19 * $F$19, 0)</f>
        <v/>
      </c>
      <c r="BB19" s="16">
        <f>IF(AND($D$19 &gt;= DATE(2023,10,1), $D$19 &lt;= DATE(2023,12,31)), $C$19 * $E$19 * $F$19, 0)</f>
        <v/>
      </c>
      <c r="BC19" s="16">
        <f>IF(AND($D$19 &gt;= DATE(2024,1,1), $D$19 &lt;= DATE(2024,3,31)), $C$19 * $E$19 * $F$19, 0)</f>
        <v/>
      </c>
      <c r="BD19" s="16">
        <f>IF(AND($D$19 &gt;= DATE(2024,4,1), $D$19 &lt;= DATE(2024,6,30)), $C$19 * $E$19 * $F$19, 0)</f>
        <v/>
      </c>
      <c r="BE19" s="16">
        <f>IF(AND($D$19 &gt;= DATE(2024,7,1), $D$19 &lt;= DATE(2024,9,30)), $C$19 * $E$19 * $F$19, 0)</f>
        <v/>
      </c>
      <c r="BF19" s="16">
        <f>IF(AND($D$19 &gt;= DATE(2024,10,1), $D$19 &lt;= DATE(2024,12,31)), $C$19 * $E$19 * $F$19, 0)</f>
        <v/>
      </c>
      <c r="BG19" s="16">
        <f>IF(AND($D$19 &gt;= DATE(2025,1,1), $D$19 &lt;= DATE(2025,3,31)), $C$19 * $E$19 * $F$19, 0)</f>
        <v/>
      </c>
      <c r="BH19" s="16">
        <f>IF(AND($D$19 &gt;= DATE(2025,4,1), $D$19 &lt;= DATE(2025,6,30)), $C$19 * $E$19 * $F$19, 0)</f>
        <v/>
      </c>
      <c r="BI19" s="16">
        <f>IF(AND($D$19 &gt;= DATE(2025,7,1), $D$19 &lt;= DATE(2025,9,30)), $C$19 * $E$19 * $F$19, 0)</f>
        <v/>
      </c>
      <c r="BJ19" s="16">
        <f>IF(AND($D$19 &gt;= DATE(2025,10,1), $D$19 &lt;= DATE(2025,12,31)), $C$19 * $E$19 * $F$19, 0)</f>
        <v/>
      </c>
      <c r="BK19" s="16">
        <f>IF(AND($D$19 &gt;= DATE(2026,1,1), $D$19 &lt;= DATE(2026,3,31)), $C$19 * $E$19 * $F$19, 0)</f>
        <v/>
      </c>
      <c r="BL19" s="16">
        <f>IF(AND($D$19 &gt;= DATE(2026,4,1), $D$19 &lt;= DATE(2026,6,30)), $C$19 * $E$19 * $F$19, 0)</f>
        <v/>
      </c>
      <c r="BM19" s="16">
        <f>IF(AND($D$19 &gt;= DATE(2026,7,1), $D$19 &lt;= DATE(2026,9,30)), $C$19 * $E$19 * $F$19, 0)</f>
        <v/>
      </c>
      <c r="BN19" s="16">
        <f>IF(AND($D$19 &gt;= DATE(2026,10,1), $D$19 &lt;= DATE(2026,12,31)), $C$19 * $E$19 * $F$19, 0)</f>
        <v/>
      </c>
      <c r="BO19" s="16">
        <f>IF(AND($D$19 &gt;= DATE(2027,1,1), $D$19 &lt;= DATE(2027,3,31)), $C$19 * $E$19 * $F$19, 0)</f>
        <v/>
      </c>
      <c r="BP19" s="16">
        <f>IF(AND($D$19 &gt;= DATE(2027,4,1), $D$19 &lt;= DATE(2027,6,30)), $C$19 * $E$19 * $F$19, 0)</f>
        <v/>
      </c>
      <c r="BQ19" s="16">
        <f>IF(AND($D$19 &gt;= DATE(2027,7,1), $D$19 &lt;= DATE(2027,9,30)), $C$19 * $E$19 * $F$19, 0)</f>
        <v/>
      </c>
      <c r="BR19" s="16">
        <f>IF(AND($D$19 &gt;= DATE(2027,10,1), $D$19 &lt;= DATE(2027,12,31)), $C$19 * $E$19 * $F$19, 0)</f>
        <v/>
      </c>
      <c r="BS19" s="16">
        <f>IF(AND($D$19 &gt;= DATE(2028,1,1), $D$19 &lt;= DATE(2028,3,31)), $C$19 * $E$19 * $F$19, 0)</f>
        <v/>
      </c>
      <c r="BT19" s="16">
        <f>IF(AND($D$19 &gt;= DATE(2028,4,1), $D$19 &lt;= DATE(2028,6,30)), $C$19 * $E$19 * $F$19, 0)</f>
        <v/>
      </c>
      <c r="BU19" s="16">
        <f>IF(AND($D$19 &gt;= DATE(2028,7,1), $D$19 &lt;= DATE(2028,9,30)), $C$19 * $E$19 * $F$19, 0)</f>
        <v/>
      </c>
      <c r="BV19" s="16">
        <f>IF(AND($D$19 &gt;= DATE(2028,10,1), $D$19 &lt;= DATE(2028,12,31)), $C$19 * $E$19 * $F$19, 0)</f>
        <v/>
      </c>
    </row>
    <row r="20">
      <c r="B20" t="inlineStr">
        <is>
          <t>Northfield &gt; Tessellate Robotics &gt; Field Support Retainer</t>
        </is>
      </c>
      <c r="C20" s="16" t="n">
        <v>27500</v>
      </c>
      <c r="D20" s="18" t="n">
        <v>46235</v>
      </c>
      <c r="E20" s="16" t="n">
        <v>12</v>
      </c>
      <c r="F20" s="19" t="n">
        <v>0.9</v>
      </c>
      <c r="G20" s="18" t="n">
        <v>46266</v>
      </c>
      <c r="H20" s="18" t="n">
        <v>46600</v>
      </c>
      <c r="I20" s="16">
        <f>$C$20 * $E$20</f>
        <v/>
      </c>
      <c r="J20" s="20">
        <f>$C$20 * $E$20 * $F$20</f>
        <v/>
      </c>
      <c r="K20" s="16">
        <f>IF(($G$20&lt;=DATE(2021,3,31))*($H$20&gt;=DATE(2021,1,1)),$C$20 * $F$20 * MAX(0, MIN((YEAR($H$20)*12+MONTH($H$20)), (YEAR(DATE(2021,3,31))*12+MONTH(DATE(2021,3,31)))) - MAX((YEAR($G$20)*12+MONTH($G$20)), (YEAR(DATE(2021,1,1))*12+MONTH(DATE(2021,1,1)))) + 1),0)</f>
        <v/>
      </c>
      <c r="L20" s="16">
        <f>IF(($G$20&lt;=DATE(2021,6,30))*($H$20&gt;=DATE(2021,4,1)),$C$20 * $F$20 * MAX(0, MIN((YEAR($H$20)*12+MONTH($H$20)), (YEAR(DATE(2021,6,30))*12+MONTH(DATE(2021,6,30)))) - MAX((YEAR($G$20)*12+MONTH($G$20)), (YEAR(DATE(2021,4,1))*12+MONTH(DATE(2021,4,1)))) + 1),0)</f>
        <v/>
      </c>
      <c r="M20" s="16">
        <f>IF(($G$20&lt;=DATE(2021,9,30))*($H$20&gt;=DATE(2021,7,1)),$C$20 * $F$20 * MAX(0, MIN((YEAR($H$20)*12+MONTH($H$20)), (YEAR(DATE(2021,9,30))*12+MONTH(DATE(2021,9,30)))) - MAX((YEAR($G$20)*12+MONTH($G$20)), (YEAR(DATE(2021,7,1))*12+MONTH(DATE(2021,7,1)))) + 1),0)</f>
        <v/>
      </c>
      <c r="N20" s="16">
        <f>IF(($G$20&lt;=DATE(2021,12,31))*($H$20&gt;=DATE(2021,10,1)),$C$20 * $F$20 * MAX(0, MIN((YEAR($H$20)*12+MONTH($H$20)), (YEAR(DATE(2021,12,31))*12+MONTH(DATE(2021,12,31)))) - MAX((YEAR($G$20)*12+MONTH($G$20)), (YEAR(DATE(2021,10,1))*12+MONTH(DATE(2021,10,1)))) + 1),0)</f>
        <v/>
      </c>
      <c r="O20" s="16">
        <f>IF(($G$20&lt;=DATE(2022,3,31))*($H$20&gt;=DATE(2022,1,1)),$C$20 * $F$20 * MAX(0, MIN((YEAR($H$20)*12+MONTH($H$20)), (YEAR(DATE(2022,3,31))*12+MONTH(DATE(2022,3,31)))) - MAX((YEAR($G$20)*12+MONTH($G$20)), (YEAR(DATE(2022,1,1))*12+MONTH(DATE(2022,1,1)))) + 1),0)</f>
        <v/>
      </c>
      <c r="P20" s="16">
        <f>IF(($G$20&lt;=DATE(2022,6,30))*($H$20&gt;=DATE(2022,4,1)),$C$20 * $F$20 * MAX(0, MIN((YEAR($H$20)*12+MONTH($H$20)), (YEAR(DATE(2022,6,30))*12+MONTH(DATE(2022,6,30)))) - MAX((YEAR($G$20)*12+MONTH($G$20)), (YEAR(DATE(2022,4,1))*12+MONTH(DATE(2022,4,1)))) + 1),0)</f>
        <v/>
      </c>
      <c r="Q20" s="16">
        <f>IF(($G$20&lt;=DATE(2022,9,30))*($H$20&gt;=DATE(2022,7,1)),$C$20 * $F$20 * MAX(0, MIN((YEAR($H$20)*12+MONTH($H$20)), (YEAR(DATE(2022,9,30))*12+MONTH(DATE(2022,9,30)))) - MAX((YEAR($G$20)*12+MONTH($G$20)), (YEAR(DATE(2022,7,1))*12+MONTH(DATE(2022,7,1)))) + 1),0)</f>
        <v/>
      </c>
      <c r="R20" s="16">
        <f>IF(($G$20&lt;=DATE(2022,12,31))*($H$20&gt;=DATE(2022,10,1)),$C$20 * $F$20 * MAX(0, MIN((YEAR($H$20)*12+MONTH($H$20)), (YEAR(DATE(2022,12,31))*12+MONTH(DATE(2022,12,31)))) - MAX((YEAR($G$20)*12+MONTH($G$20)), (YEAR(DATE(2022,10,1))*12+MONTH(DATE(2022,10,1)))) + 1),0)</f>
        <v/>
      </c>
      <c r="S20" s="16">
        <f>IF(($G$20&lt;=DATE(2023,3,31))*($H$20&gt;=DATE(2023,1,1)),$C$20 * $F$20 * MAX(0, MIN((YEAR($H$20)*12+MONTH($H$20)), (YEAR(DATE(2023,3,31))*12+MONTH(DATE(2023,3,31)))) - MAX((YEAR($G$20)*12+MONTH($G$20)), (YEAR(DATE(2023,1,1))*12+MONTH(DATE(2023,1,1)))) + 1),0)</f>
        <v/>
      </c>
      <c r="T20" s="16">
        <f>IF(($G$20&lt;=DATE(2023,6,30))*($H$20&gt;=DATE(2023,4,1)),$C$20 * $F$20 * MAX(0, MIN((YEAR($H$20)*12+MONTH($H$20)), (YEAR(DATE(2023,6,30))*12+MONTH(DATE(2023,6,30)))) - MAX((YEAR($G$20)*12+MONTH($G$20)), (YEAR(DATE(2023,4,1))*12+MONTH(DATE(2023,4,1)))) + 1),0)</f>
        <v/>
      </c>
      <c r="U20" s="16">
        <f>IF(($G$20&lt;=DATE(2023,9,30))*($H$20&gt;=DATE(2023,7,1)),$C$20 * $F$20 * MAX(0, MIN((YEAR($H$20)*12+MONTH($H$20)), (YEAR(DATE(2023,9,30))*12+MONTH(DATE(2023,9,30)))) - MAX((YEAR($G$20)*12+MONTH($G$20)), (YEAR(DATE(2023,7,1))*12+MONTH(DATE(2023,7,1)))) + 1),0)</f>
        <v/>
      </c>
      <c r="V20" s="16">
        <f>IF(($G$20&lt;=DATE(2023,12,31))*($H$20&gt;=DATE(2023,10,1)),$C$20 * $F$20 * MAX(0, MIN((YEAR($H$20)*12+MONTH($H$20)), (YEAR(DATE(2023,12,31))*12+MONTH(DATE(2023,12,31)))) - MAX((YEAR($G$20)*12+MONTH($G$20)), (YEAR(DATE(2023,10,1))*12+MONTH(DATE(2023,10,1)))) + 1),0)</f>
        <v/>
      </c>
      <c r="W20" s="16">
        <f>IF(($G$20&lt;=DATE(2024,3,31))*($H$20&gt;=DATE(2024,1,1)),$C$20 * $F$20 * MAX(0, MIN((YEAR($H$20)*12+MONTH($H$20)), (YEAR(DATE(2024,3,31))*12+MONTH(DATE(2024,3,31)))) - MAX((YEAR($G$20)*12+MONTH($G$20)), (YEAR(DATE(2024,1,1))*12+MONTH(DATE(2024,1,1)))) + 1),0)</f>
        <v/>
      </c>
      <c r="X20" s="16">
        <f>IF(($G$20&lt;=DATE(2024,6,30))*($H$20&gt;=DATE(2024,4,1)),$C$20 * $F$20 * MAX(0, MIN((YEAR($H$20)*12+MONTH($H$20)), (YEAR(DATE(2024,6,30))*12+MONTH(DATE(2024,6,30)))) - MAX((YEAR($G$20)*12+MONTH($G$20)), (YEAR(DATE(2024,4,1))*12+MONTH(DATE(2024,4,1)))) + 1),0)</f>
        <v/>
      </c>
      <c r="Y20" s="16">
        <f>IF(($G$20&lt;=DATE(2024,9,30))*($H$20&gt;=DATE(2024,7,1)),$C$20 * $F$20 * MAX(0, MIN((YEAR($H$20)*12+MONTH($H$20)), (YEAR(DATE(2024,9,30))*12+MONTH(DATE(2024,9,30)))) - MAX((YEAR($G$20)*12+MONTH($G$20)), (YEAR(DATE(2024,7,1))*12+MONTH(DATE(2024,7,1)))) + 1),0)</f>
        <v/>
      </c>
      <c r="Z20" s="16">
        <f>IF(($G$20&lt;=DATE(2024,12,31))*($H$20&gt;=DATE(2024,10,1)),$C$20 * $F$20 * MAX(0, MIN((YEAR($H$20)*12+MONTH($H$20)), (YEAR(DATE(2024,12,31))*12+MONTH(DATE(2024,12,31)))) - MAX((YEAR($G$20)*12+MONTH($G$20)), (YEAR(DATE(2024,10,1))*12+MONTH(DATE(2024,10,1)))) + 1),0)</f>
        <v/>
      </c>
      <c r="AA20" s="16">
        <f>IF(($G$20&lt;=DATE(2025,3,31))*($H$20&gt;=DATE(2025,1,1)),$C$20 * $F$20 * MAX(0, MIN((YEAR($H$20)*12+MONTH($H$20)), (YEAR(DATE(2025,3,31))*12+MONTH(DATE(2025,3,31)))) - MAX((YEAR($G$20)*12+MONTH($G$20)), (YEAR(DATE(2025,1,1))*12+MONTH(DATE(2025,1,1)))) + 1),0)</f>
        <v/>
      </c>
      <c r="AB20" s="16">
        <f>IF(($G$20&lt;=DATE(2025,6,30))*($H$20&gt;=DATE(2025,4,1)),$C$20 * $F$20 * MAX(0, MIN((YEAR($H$20)*12+MONTH($H$20)), (YEAR(DATE(2025,6,30))*12+MONTH(DATE(2025,6,30)))) - MAX((YEAR($G$20)*12+MONTH($G$20)), (YEAR(DATE(2025,4,1))*12+MONTH(DATE(2025,4,1)))) + 1),0)</f>
        <v/>
      </c>
      <c r="AC20" s="16">
        <f>IF(($G$20&lt;=DATE(2025,9,30))*($H$20&gt;=DATE(2025,7,1)),$C$20 * $F$20 * MAX(0, MIN((YEAR($H$20)*12+MONTH($H$20)), (YEAR(DATE(2025,9,30))*12+MONTH(DATE(2025,9,30)))) - MAX((YEAR($G$20)*12+MONTH($G$20)), (YEAR(DATE(2025,7,1))*12+MONTH(DATE(2025,7,1)))) + 1),0)</f>
        <v/>
      </c>
      <c r="AD20" s="16">
        <f>IF(($G$20&lt;=DATE(2025,12,31))*($H$20&gt;=DATE(2025,10,1)),$C$20 * $F$20 * MAX(0, MIN((YEAR($H$20)*12+MONTH($H$20)), (YEAR(DATE(2025,12,31))*12+MONTH(DATE(2025,12,31)))) - MAX((YEAR($G$20)*12+MONTH($G$20)), (YEAR(DATE(2025,10,1))*12+MONTH(DATE(2025,10,1)))) + 1),0)</f>
        <v/>
      </c>
      <c r="AE20" s="16">
        <f>IF(($G$20&lt;=DATE(2026,3,31))*($H$20&gt;=DATE(2026,1,1)),$C$20 * $F$20 * MAX(0, MIN((YEAR($H$20)*12+MONTH($H$20)), (YEAR(DATE(2026,3,31))*12+MONTH(DATE(2026,3,31)))) - MAX((YEAR($G$20)*12+MONTH($G$20)), (YEAR(DATE(2026,1,1))*12+MONTH(DATE(2026,1,1)))) + 1),0)</f>
        <v/>
      </c>
      <c r="AF20" s="16">
        <f>IF(($G$20&lt;=DATE(2026,6,30))*($H$20&gt;=DATE(2026,4,1)),$C$20 * $F$20 * MAX(0, MIN((YEAR($H$20)*12+MONTH($H$20)), (YEAR(DATE(2026,6,30))*12+MONTH(DATE(2026,6,30)))) - MAX((YEAR($G$20)*12+MONTH($G$20)), (YEAR(DATE(2026,4,1))*12+MONTH(DATE(2026,4,1)))) + 1),0)</f>
        <v/>
      </c>
      <c r="AG20" s="16">
        <f>IF(($G$20&lt;=DATE(2026,9,30))*($H$20&gt;=DATE(2026,7,1)),$C$20 * $F$20 * MAX(0, MIN((YEAR($H$20)*12+MONTH($H$20)), (YEAR(DATE(2026,9,30))*12+MONTH(DATE(2026,9,30)))) - MAX((YEAR($G$20)*12+MONTH($G$20)), (YEAR(DATE(2026,7,1))*12+MONTH(DATE(2026,7,1)))) + 1),0)</f>
        <v/>
      </c>
      <c r="AH20" s="16">
        <f>IF(($G$20&lt;=DATE(2026,12,31))*($H$20&gt;=DATE(2026,10,1)),$C$20 * $F$20 * MAX(0, MIN((YEAR($H$20)*12+MONTH($H$20)), (YEAR(DATE(2026,12,31))*12+MONTH(DATE(2026,12,31)))) - MAX((YEAR($G$20)*12+MONTH($G$20)), (YEAR(DATE(2026,10,1))*12+MONTH(DATE(2026,10,1)))) + 1),0)</f>
        <v/>
      </c>
      <c r="AI20" s="16">
        <f>IF(($G$20&lt;=DATE(2027,3,31))*($H$20&gt;=DATE(2027,1,1)),$C$20 * $F$20 * MAX(0, MIN((YEAR($H$20)*12+MONTH($H$20)), (YEAR(DATE(2027,3,31))*12+MONTH(DATE(2027,3,31)))) - MAX((YEAR($G$20)*12+MONTH($G$20)), (YEAR(DATE(2027,1,1))*12+MONTH(DATE(2027,1,1)))) + 1),0)</f>
        <v/>
      </c>
      <c r="AJ20" s="16">
        <f>IF(($G$20&lt;=DATE(2027,6,30))*($H$20&gt;=DATE(2027,4,1)),$C$20 * $F$20 * MAX(0, MIN((YEAR($H$20)*12+MONTH($H$20)), (YEAR(DATE(2027,6,30))*12+MONTH(DATE(2027,6,30)))) - MAX((YEAR($G$20)*12+MONTH($G$20)), (YEAR(DATE(2027,4,1))*12+MONTH(DATE(2027,4,1)))) + 1),0)</f>
        <v/>
      </c>
      <c r="AK20" s="16">
        <f>IF(($G$20&lt;=DATE(2027,9,30))*($H$20&gt;=DATE(2027,7,1)),$C$20 * $F$20 * MAX(0, MIN((YEAR($H$20)*12+MONTH($H$20)), (YEAR(DATE(2027,9,30))*12+MONTH(DATE(2027,9,30)))) - MAX((YEAR($G$20)*12+MONTH($G$20)), (YEAR(DATE(2027,7,1))*12+MONTH(DATE(2027,7,1)))) + 1),0)</f>
        <v/>
      </c>
      <c r="AL20" s="16">
        <f>IF(($G$20&lt;=DATE(2027,12,31))*($H$20&gt;=DATE(2027,10,1)),$C$20 * $F$20 * MAX(0, MIN((YEAR($H$20)*12+MONTH($H$20)), (YEAR(DATE(2027,12,31))*12+MONTH(DATE(2027,12,31)))) - MAX((YEAR($G$20)*12+MONTH($G$20)), (YEAR(DATE(2027,10,1))*12+MONTH(DATE(2027,10,1)))) + 1),0)</f>
        <v/>
      </c>
      <c r="AM20" s="16">
        <f>IF(($G$20&lt;=DATE(2028,3,31))*($H$20&gt;=DATE(2028,1,1)),$C$20 * $F$20 * MAX(0, MIN((YEAR($H$20)*12+MONTH($H$20)), (YEAR(DATE(2028,3,31))*12+MONTH(DATE(2028,3,31)))) - MAX((YEAR($G$20)*12+MONTH($G$20)), (YEAR(DATE(2028,1,1))*12+MONTH(DATE(2028,1,1)))) + 1),0)</f>
        <v/>
      </c>
      <c r="AN20" s="16">
        <f>IF(($G$20&lt;=DATE(2028,6,30))*($H$20&gt;=DATE(2028,4,1)),$C$20 * $F$20 * MAX(0, MIN((YEAR($H$20)*12+MONTH($H$20)), (YEAR(DATE(2028,6,30))*12+MONTH(DATE(2028,6,30)))) - MAX((YEAR($G$20)*12+MONTH($G$20)), (YEAR(DATE(2028,4,1))*12+MONTH(DATE(2028,4,1)))) + 1),0)</f>
        <v/>
      </c>
      <c r="AO20" s="16">
        <f>IF(($G$20&lt;=DATE(2028,9,30))*($H$20&gt;=DATE(2028,7,1)),$C$20 * $F$20 * MAX(0, MIN((YEAR($H$20)*12+MONTH($H$20)), (YEAR(DATE(2028,9,30))*12+MONTH(DATE(2028,9,30)))) - MAX((YEAR($G$20)*12+MONTH($G$20)), (YEAR(DATE(2028,7,1))*12+MONTH(DATE(2028,7,1)))) + 1),0)</f>
        <v/>
      </c>
      <c r="AP20" s="16">
        <f>IF(($G$20&lt;=DATE(2028,12,31))*($H$20&gt;=DATE(2028,10,1)),$C$20 * $F$20 * MAX(0, MIN((YEAR($H$20)*12+MONTH($H$20)), (YEAR(DATE(2028,12,31))*12+MONTH(DATE(2028,12,31)))) - MAX((YEAR($G$20)*12+MONTH($G$20)), (YEAR(DATE(2028,10,1))*12+MONTH(DATE(2028,10,1)))) + 1),0)</f>
        <v/>
      </c>
      <c r="AQ20" s="16">
        <f>IF(AND($D$20 &gt;= DATE(2021,1,1), $D$20 &lt;= DATE(2021,3,31)), $C$20 * $E$20 * $F$20, 0)</f>
        <v/>
      </c>
      <c r="AR20" s="16">
        <f>IF(AND($D$20 &gt;= DATE(2021,4,1), $D$20 &lt;= DATE(2021,6,30)), $C$20 * $E$20 * $F$20, 0)</f>
        <v/>
      </c>
      <c r="AS20" s="16">
        <f>IF(AND($D$20 &gt;= DATE(2021,7,1), $D$20 &lt;= DATE(2021,9,30)), $C$20 * $E$20 * $F$20, 0)</f>
        <v/>
      </c>
      <c r="AT20" s="16">
        <f>IF(AND($D$20 &gt;= DATE(2021,10,1), $D$20 &lt;= DATE(2021,12,31)), $C$20 * $E$20 * $F$20, 0)</f>
        <v/>
      </c>
      <c r="AU20" s="16">
        <f>IF(AND($D$20 &gt;= DATE(2022,1,1), $D$20 &lt;= DATE(2022,3,31)), $C$20 * $E$20 * $F$20, 0)</f>
        <v/>
      </c>
      <c r="AV20" s="16">
        <f>IF(AND($D$20 &gt;= DATE(2022,4,1), $D$20 &lt;= DATE(2022,6,30)), $C$20 * $E$20 * $F$20, 0)</f>
        <v/>
      </c>
      <c r="AW20" s="16">
        <f>IF(AND($D$20 &gt;= DATE(2022,7,1), $D$20 &lt;= DATE(2022,9,30)), $C$20 * $E$20 * $F$20, 0)</f>
        <v/>
      </c>
      <c r="AX20" s="16">
        <f>IF(AND($D$20 &gt;= DATE(2022,10,1), $D$20 &lt;= DATE(2022,12,31)), $C$20 * $E$20 * $F$20, 0)</f>
        <v/>
      </c>
      <c r="AY20" s="16">
        <f>IF(AND($D$20 &gt;= DATE(2023,1,1), $D$20 &lt;= DATE(2023,3,31)), $C$20 * $E$20 * $F$20, 0)</f>
        <v/>
      </c>
      <c r="AZ20" s="16">
        <f>IF(AND($D$20 &gt;= DATE(2023,4,1), $D$20 &lt;= DATE(2023,6,30)), $C$20 * $E$20 * $F$20, 0)</f>
        <v/>
      </c>
      <c r="BA20" s="16">
        <f>IF(AND($D$20 &gt;= DATE(2023,7,1), $D$20 &lt;= DATE(2023,9,30)), $C$20 * $E$20 * $F$20, 0)</f>
        <v/>
      </c>
      <c r="BB20" s="16">
        <f>IF(AND($D$20 &gt;= DATE(2023,10,1), $D$20 &lt;= DATE(2023,12,31)), $C$20 * $E$20 * $F$20, 0)</f>
        <v/>
      </c>
      <c r="BC20" s="16">
        <f>IF(AND($D$20 &gt;= DATE(2024,1,1), $D$20 &lt;= DATE(2024,3,31)), $C$20 * $E$20 * $F$20, 0)</f>
        <v/>
      </c>
      <c r="BD20" s="16">
        <f>IF(AND($D$20 &gt;= DATE(2024,4,1), $D$20 &lt;= DATE(2024,6,30)), $C$20 * $E$20 * $F$20, 0)</f>
        <v/>
      </c>
      <c r="BE20" s="16">
        <f>IF(AND($D$20 &gt;= DATE(2024,7,1), $D$20 &lt;= DATE(2024,9,30)), $C$20 * $E$20 * $F$20, 0)</f>
        <v/>
      </c>
      <c r="BF20" s="16">
        <f>IF(AND($D$20 &gt;= DATE(2024,10,1), $D$20 &lt;= DATE(2024,12,31)), $C$20 * $E$20 * $F$20, 0)</f>
        <v/>
      </c>
      <c r="BG20" s="16">
        <f>IF(AND($D$20 &gt;= DATE(2025,1,1), $D$20 &lt;= DATE(2025,3,31)), $C$20 * $E$20 * $F$20, 0)</f>
        <v/>
      </c>
      <c r="BH20" s="16">
        <f>IF(AND($D$20 &gt;= DATE(2025,4,1), $D$20 &lt;= DATE(2025,6,30)), $C$20 * $E$20 * $F$20, 0)</f>
        <v/>
      </c>
      <c r="BI20" s="16">
        <f>IF(AND($D$20 &gt;= DATE(2025,7,1), $D$20 &lt;= DATE(2025,9,30)), $C$20 * $E$20 * $F$20, 0)</f>
        <v/>
      </c>
      <c r="BJ20" s="16">
        <f>IF(AND($D$20 &gt;= DATE(2025,10,1), $D$20 &lt;= DATE(2025,12,31)), $C$20 * $E$20 * $F$20, 0)</f>
        <v/>
      </c>
      <c r="BK20" s="16">
        <f>IF(AND($D$20 &gt;= DATE(2026,1,1), $D$20 &lt;= DATE(2026,3,31)), $C$20 * $E$20 * $F$20, 0)</f>
        <v/>
      </c>
      <c r="BL20" s="16">
        <f>IF(AND($D$20 &gt;= DATE(2026,4,1), $D$20 &lt;= DATE(2026,6,30)), $C$20 * $E$20 * $F$20, 0)</f>
        <v/>
      </c>
      <c r="BM20" s="16">
        <f>IF(AND($D$20 &gt;= DATE(2026,7,1), $D$20 &lt;= DATE(2026,9,30)), $C$20 * $E$20 * $F$20, 0)</f>
        <v/>
      </c>
      <c r="BN20" s="16">
        <f>IF(AND($D$20 &gt;= DATE(2026,10,1), $D$20 &lt;= DATE(2026,12,31)), $C$20 * $E$20 * $F$20, 0)</f>
        <v/>
      </c>
      <c r="BO20" s="16">
        <f>IF(AND($D$20 &gt;= DATE(2027,1,1), $D$20 &lt;= DATE(2027,3,31)), $C$20 * $E$20 * $F$20, 0)</f>
        <v/>
      </c>
      <c r="BP20" s="16">
        <f>IF(AND($D$20 &gt;= DATE(2027,4,1), $D$20 &lt;= DATE(2027,6,30)), $C$20 * $E$20 * $F$20, 0)</f>
        <v/>
      </c>
      <c r="BQ20" s="16">
        <f>IF(AND($D$20 &gt;= DATE(2027,7,1), $D$20 &lt;= DATE(2027,9,30)), $C$20 * $E$20 * $F$20, 0)</f>
        <v/>
      </c>
      <c r="BR20" s="16">
        <f>IF(AND($D$20 &gt;= DATE(2027,10,1), $D$20 &lt;= DATE(2027,12,31)), $C$20 * $E$20 * $F$20, 0)</f>
        <v/>
      </c>
      <c r="BS20" s="16">
        <f>IF(AND($D$20 &gt;= DATE(2028,1,1), $D$20 &lt;= DATE(2028,3,31)), $C$20 * $E$20 * $F$20, 0)</f>
        <v/>
      </c>
      <c r="BT20" s="16">
        <f>IF(AND($D$20 &gt;= DATE(2028,4,1), $D$20 &lt;= DATE(2028,6,30)), $C$20 * $E$20 * $F$20, 0)</f>
        <v/>
      </c>
      <c r="BU20" s="16">
        <f>IF(AND($D$20 &gt;= DATE(2028,7,1), $D$20 &lt;= DATE(2028,9,30)), $C$20 * $E$20 * $F$20, 0)</f>
        <v/>
      </c>
      <c r="BV20" s="16">
        <f>IF(AND($D$20 &gt;= DATE(2028,10,1), $D$20 &lt;= DATE(2028,12,31)), $C$20 * $E$20 * $F$20, 0)</f>
        <v/>
      </c>
    </row>
    <row r="21">
      <c r="B21" t="inlineStr">
        <is>
          <t>Foundry &gt; Solano Motors &gt; Rotor Assembly Study</t>
        </is>
      </c>
      <c r="C21" s="16" t="n">
        <v>152500</v>
      </c>
      <c r="D21" s="18" t="n">
        <v>46266</v>
      </c>
      <c r="E21" s="16" t="n">
        <v>3</v>
      </c>
      <c r="F21" s="19" t="n">
        <v>0.1</v>
      </c>
      <c r="G21" s="18" t="n">
        <v>46296</v>
      </c>
      <c r="H21" s="18" t="n">
        <v>46357</v>
      </c>
      <c r="I21" s="16">
        <f>$C$21 * $E$21</f>
        <v/>
      </c>
      <c r="J21" s="20">
        <f>$C$21 * $E$21 * $F$21</f>
        <v/>
      </c>
      <c r="K21" s="16">
        <f>IF(($G$21&lt;=DATE(2021,3,31))*($H$21&gt;=DATE(2021,1,1)),$C$21 * $F$21 * MAX(0, MIN((YEAR($H$21)*12+MONTH($H$21)), (YEAR(DATE(2021,3,31))*12+MONTH(DATE(2021,3,31)))) - MAX((YEAR($G$21)*12+MONTH($G$21)), (YEAR(DATE(2021,1,1))*12+MONTH(DATE(2021,1,1)))) + 1),0)</f>
        <v/>
      </c>
      <c r="L21" s="16">
        <f>IF(($G$21&lt;=DATE(2021,6,30))*($H$21&gt;=DATE(2021,4,1)),$C$21 * $F$21 * MAX(0, MIN((YEAR($H$21)*12+MONTH($H$21)), (YEAR(DATE(2021,6,30))*12+MONTH(DATE(2021,6,30)))) - MAX((YEAR($G$21)*12+MONTH($G$21)), (YEAR(DATE(2021,4,1))*12+MONTH(DATE(2021,4,1)))) + 1),0)</f>
        <v/>
      </c>
      <c r="M21" s="16">
        <f>IF(($G$21&lt;=DATE(2021,9,30))*($H$21&gt;=DATE(2021,7,1)),$C$21 * $F$21 * MAX(0, MIN((YEAR($H$21)*12+MONTH($H$21)), (YEAR(DATE(2021,9,30))*12+MONTH(DATE(2021,9,30)))) - MAX((YEAR($G$21)*12+MONTH($G$21)), (YEAR(DATE(2021,7,1))*12+MONTH(DATE(2021,7,1)))) + 1),0)</f>
        <v/>
      </c>
      <c r="N21" s="16">
        <f>IF(($G$21&lt;=DATE(2021,12,31))*($H$21&gt;=DATE(2021,10,1)),$C$21 * $F$21 * MAX(0, MIN((YEAR($H$21)*12+MONTH($H$21)), (YEAR(DATE(2021,12,31))*12+MONTH(DATE(2021,12,31)))) - MAX((YEAR($G$21)*12+MONTH($G$21)), (YEAR(DATE(2021,10,1))*12+MONTH(DATE(2021,10,1)))) + 1),0)</f>
        <v/>
      </c>
      <c r="O21" s="16">
        <f>IF(($G$21&lt;=DATE(2022,3,31))*($H$21&gt;=DATE(2022,1,1)),$C$21 * $F$21 * MAX(0, MIN((YEAR($H$21)*12+MONTH($H$21)), (YEAR(DATE(2022,3,31))*12+MONTH(DATE(2022,3,31)))) - MAX((YEAR($G$21)*12+MONTH($G$21)), (YEAR(DATE(2022,1,1))*12+MONTH(DATE(2022,1,1)))) + 1),0)</f>
        <v/>
      </c>
      <c r="P21" s="16">
        <f>IF(($G$21&lt;=DATE(2022,6,30))*($H$21&gt;=DATE(2022,4,1)),$C$21 * $F$21 * MAX(0, MIN((YEAR($H$21)*12+MONTH($H$21)), (YEAR(DATE(2022,6,30))*12+MONTH(DATE(2022,6,30)))) - MAX((YEAR($G$21)*12+MONTH($G$21)), (YEAR(DATE(2022,4,1))*12+MONTH(DATE(2022,4,1)))) + 1),0)</f>
        <v/>
      </c>
      <c r="Q21" s="16">
        <f>IF(($G$21&lt;=DATE(2022,9,30))*($H$21&gt;=DATE(2022,7,1)),$C$21 * $F$21 * MAX(0, MIN((YEAR($H$21)*12+MONTH($H$21)), (YEAR(DATE(2022,9,30))*12+MONTH(DATE(2022,9,30)))) - MAX((YEAR($G$21)*12+MONTH($G$21)), (YEAR(DATE(2022,7,1))*12+MONTH(DATE(2022,7,1)))) + 1),0)</f>
        <v/>
      </c>
      <c r="R21" s="16">
        <f>IF(($G$21&lt;=DATE(2022,12,31))*($H$21&gt;=DATE(2022,10,1)),$C$21 * $F$21 * MAX(0, MIN((YEAR($H$21)*12+MONTH($H$21)), (YEAR(DATE(2022,12,31))*12+MONTH(DATE(2022,12,31)))) - MAX((YEAR($G$21)*12+MONTH($G$21)), (YEAR(DATE(2022,10,1))*12+MONTH(DATE(2022,10,1)))) + 1),0)</f>
        <v/>
      </c>
      <c r="S21" s="16">
        <f>IF(($G$21&lt;=DATE(2023,3,31))*($H$21&gt;=DATE(2023,1,1)),$C$21 * $F$21 * MAX(0, MIN((YEAR($H$21)*12+MONTH($H$21)), (YEAR(DATE(2023,3,31))*12+MONTH(DATE(2023,3,31)))) - MAX((YEAR($G$21)*12+MONTH($G$21)), (YEAR(DATE(2023,1,1))*12+MONTH(DATE(2023,1,1)))) + 1),0)</f>
        <v/>
      </c>
      <c r="T21" s="16">
        <f>IF(($G$21&lt;=DATE(2023,6,30))*($H$21&gt;=DATE(2023,4,1)),$C$21 * $F$21 * MAX(0, MIN((YEAR($H$21)*12+MONTH($H$21)), (YEAR(DATE(2023,6,30))*12+MONTH(DATE(2023,6,30)))) - MAX((YEAR($G$21)*12+MONTH($G$21)), (YEAR(DATE(2023,4,1))*12+MONTH(DATE(2023,4,1)))) + 1),0)</f>
        <v/>
      </c>
      <c r="U21" s="16">
        <f>IF(($G$21&lt;=DATE(2023,9,30))*($H$21&gt;=DATE(2023,7,1)),$C$21 * $F$21 * MAX(0, MIN((YEAR($H$21)*12+MONTH($H$21)), (YEAR(DATE(2023,9,30))*12+MONTH(DATE(2023,9,30)))) - MAX((YEAR($G$21)*12+MONTH($G$21)), (YEAR(DATE(2023,7,1))*12+MONTH(DATE(2023,7,1)))) + 1),0)</f>
        <v/>
      </c>
      <c r="V21" s="16">
        <f>IF(($G$21&lt;=DATE(2023,12,31))*($H$21&gt;=DATE(2023,10,1)),$C$21 * $F$21 * MAX(0, MIN((YEAR($H$21)*12+MONTH($H$21)), (YEAR(DATE(2023,12,31))*12+MONTH(DATE(2023,12,31)))) - MAX((YEAR($G$21)*12+MONTH($G$21)), (YEAR(DATE(2023,10,1))*12+MONTH(DATE(2023,10,1)))) + 1),0)</f>
        <v/>
      </c>
      <c r="W21" s="16">
        <f>IF(($G$21&lt;=DATE(2024,3,31))*($H$21&gt;=DATE(2024,1,1)),$C$21 * $F$21 * MAX(0, MIN((YEAR($H$21)*12+MONTH($H$21)), (YEAR(DATE(2024,3,31))*12+MONTH(DATE(2024,3,31)))) - MAX((YEAR($G$21)*12+MONTH($G$21)), (YEAR(DATE(2024,1,1))*12+MONTH(DATE(2024,1,1)))) + 1),0)</f>
        <v/>
      </c>
      <c r="X21" s="16">
        <f>IF(($G$21&lt;=DATE(2024,6,30))*($H$21&gt;=DATE(2024,4,1)),$C$21 * $F$21 * MAX(0, MIN((YEAR($H$21)*12+MONTH($H$21)), (YEAR(DATE(2024,6,30))*12+MONTH(DATE(2024,6,30)))) - MAX((YEAR($G$21)*12+MONTH($G$21)), (YEAR(DATE(2024,4,1))*12+MONTH(DATE(2024,4,1)))) + 1),0)</f>
        <v/>
      </c>
      <c r="Y21" s="16">
        <f>IF(($G$21&lt;=DATE(2024,9,30))*($H$21&gt;=DATE(2024,7,1)),$C$21 * $F$21 * MAX(0, MIN((YEAR($H$21)*12+MONTH($H$21)), (YEAR(DATE(2024,9,30))*12+MONTH(DATE(2024,9,30)))) - MAX((YEAR($G$21)*12+MONTH($G$21)), (YEAR(DATE(2024,7,1))*12+MONTH(DATE(2024,7,1)))) + 1),0)</f>
        <v/>
      </c>
      <c r="Z21" s="16">
        <f>IF(($G$21&lt;=DATE(2024,12,31))*($H$21&gt;=DATE(2024,10,1)),$C$21 * $F$21 * MAX(0, MIN((YEAR($H$21)*12+MONTH($H$21)), (YEAR(DATE(2024,12,31))*12+MONTH(DATE(2024,12,31)))) - MAX((YEAR($G$21)*12+MONTH($G$21)), (YEAR(DATE(2024,10,1))*12+MONTH(DATE(2024,10,1)))) + 1),0)</f>
        <v/>
      </c>
      <c r="AA21" s="16">
        <f>IF(($G$21&lt;=DATE(2025,3,31))*($H$21&gt;=DATE(2025,1,1)),$C$21 * $F$21 * MAX(0, MIN((YEAR($H$21)*12+MONTH($H$21)), (YEAR(DATE(2025,3,31))*12+MONTH(DATE(2025,3,31)))) - MAX((YEAR($G$21)*12+MONTH($G$21)), (YEAR(DATE(2025,1,1))*12+MONTH(DATE(2025,1,1)))) + 1),0)</f>
        <v/>
      </c>
      <c r="AB21" s="16">
        <f>IF(($G$21&lt;=DATE(2025,6,30))*($H$21&gt;=DATE(2025,4,1)),$C$21 * $F$21 * MAX(0, MIN((YEAR($H$21)*12+MONTH($H$21)), (YEAR(DATE(2025,6,30))*12+MONTH(DATE(2025,6,30)))) - MAX((YEAR($G$21)*12+MONTH($G$21)), (YEAR(DATE(2025,4,1))*12+MONTH(DATE(2025,4,1)))) + 1),0)</f>
        <v/>
      </c>
      <c r="AC21" s="16">
        <f>IF(($G$21&lt;=DATE(2025,9,30))*($H$21&gt;=DATE(2025,7,1)),$C$21 * $F$21 * MAX(0, MIN((YEAR($H$21)*12+MONTH($H$21)), (YEAR(DATE(2025,9,30))*12+MONTH(DATE(2025,9,30)))) - MAX((YEAR($G$21)*12+MONTH($G$21)), (YEAR(DATE(2025,7,1))*12+MONTH(DATE(2025,7,1)))) + 1),0)</f>
        <v/>
      </c>
      <c r="AD21" s="16">
        <f>IF(($G$21&lt;=DATE(2025,12,31))*($H$21&gt;=DATE(2025,10,1)),$C$21 * $F$21 * MAX(0, MIN((YEAR($H$21)*12+MONTH($H$21)), (YEAR(DATE(2025,12,31))*12+MONTH(DATE(2025,12,31)))) - MAX((YEAR($G$21)*12+MONTH($G$21)), (YEAR(DATE(2025,10,1))*12+MONTH(DATE(2025,10,1)))) + 1),0)</f>
        <v/>
      </c>
      <c r="AE21" s="16">
        <f>IF(($G$21&lt;=DATE(2026,3,31))*($H$21&gt;=DATE(2026,1,1)),$C$21 * $F$21 * MAX(0, MIN((YEAR($H$21)*12+MONTH($H$21)), (YEAR(DATE(2026,3,31))*12+MONTH(DATE(2026,3,31)))) - MAX((YEAR($G$21)*12+MONTH($G$21)), (YEAR(DATE(2026,1,1))*12+MONTH(DATE(2026,1,1)))) + 1),0)</f>
        <v/>
      </c>
      <c r="AF21" s="16">
        <f>IF(($G$21&lt;=DATE(2026,6,30))*($H$21&gt;=DATE(2026,4,1)),$C$21 * $F$21 * MAX(0, MIN((YEAR($H$21)*12+MONTH($H$21)), (YEAR(DATE(2026,6,30))*12+MONTH(DATE(2026,6,30)))) - MAX((YEAR($G$21)*12+MONTH($G$21)), (YEAR(DATE(2026,4,1))*12+MONTH(DATE(2026,4,1)))) + 1),0)</f>
        <v/>
      </c>
      <c r="AG21" s="16">
        <f>IF(($G$21&lt;=DATE(2026,9,30))*($H$21&gt;=DATE(2026,7,1)),$C$21 * $F$21 * MAX(0, MIN((YEAR($H$21)*12+MONTH($H$21)), (YEAR(DATE(2026,9,30))*12+MONTH(DATE(2026,9,30)))) - MAX((YEAR($G$21)*12+MONTH($G$21)), (YEAR(DATE(2026,7,1))*12+MONTH(DATE(2026,7,1)))) + 1),0)</f>
        <v/>
      </c>
      <c r="AH21" s="16">
        <f>IF(($G$21&lt;=DATE(2026,12,31))*($H$21&gt;=DATE(2026,10,1)),$C$21 * $F$21 * MAX(0, MIN((YEAR($H$21)*12+MONTH($H$21)), (YEAR(DATE(2026,12,31))*12+MONTH(DATE(2026,12,31)))) - MAX((YEAR($G$21)*12+MONTH($G$21)), (YEAR(DATE(2026,10,1))*12+MONTH(DATE(2026,10,1)))) + 1),0)</f>
        <v/>
      </c>
      <c r="AI21" s="16">
        <f>IF(($G$21&lt;=DATE(2027,3,31))*($H$21&gt;=DATE(2027,1,1)),$C$21 * $F$21 * MAX(0, MIN((YEAR($H$21)*12+MONTH($H$21)), (YEAR(DATE(2027,3,31))*12+MONTH(DATE(2027,3,31)))) - MAX((YEAR($G$21)*12+MONTH($G$21)), (YEAR(DATE(2027,1,1))*12+MONTH(DATE(2027,1,1)))) + 1),0)</f>
        <v/>
      </c>
      <c r="AJ21" s="16">
        <f>IF(($G$21&lt;=DATE(2027,6,30))*($H$21&gt;=DATE(2027,4,1)),$C$21 * $F$21 * MAX(0, MIN((YEAR($H$21)*12+MONTH($H$21)), (YEAR(DATE(2027,6,30))*12+MONTH(DATE(2027,6,30)))) - MAX((YEAR($G$21)*12+MONTH($G$21)), (YEAR(DATE(2027,4,1))*12+MONTH(DATE(2027,4,1)))) + 1),0)</f>
        <v/>
      </c>
      <c r="AK21" s="16">
        <f>IF(($G$21&lt;=DATE(2027,9,30))*($H$21&gt;=DATE(2027,7,1)),$C$21 * $F$21 * MAX(0, MIN((YEAR($H$21)*12+MONTH($H$21)), (YEAR(DATE(2027,9,30))*12+MONTH(DATE(2027,9,30)))) - MAX((YEAR($G$21)*12+MONTH($G$21)), (YEAR(DATE(2027,7,1))*12+MONTH(DATE(2027,7,1)))) + 1),0)</f>
        <v/>
      </c>
      <c r="AL21" s="16">
        <f>IF(($G$21&lt;=DATE(2027,12,31))*($H$21&gt;=DATE(2027,10,1)),$C$21 * $F$21 * MAX(0, MIN((YEAR($H$21)*12+MONTH($H$21)), (YEAR(DATE(2027,12,31))*12+MONTH(DATE(2027,12,31)))) - MAX((YEAR($G$21)*12+MONTH($G$21)), (YEAR(DATE(2027,10,1))*12+MONTH(DATE(2027,10,1)))) + 1),0)</f>
        <v/>
      </c>
      <c r="AM21" s="16">
        <f>IF(($G$21&lt;=DATE(2028,3,31))*($H$21&gt;=DATE(2028,1,1)),$C$21 * $F$21 * MAX(0, MIN((YEAR($H$21)*12+MONTH($H$21)), (YEAR(DATE(2028,3,31))*12+MONTH(DATE(2028,3,31)))) - MAX((YEAR($G$21)*12+MONTH($G$21)), (YEAR(DATE(2028,1,1))*12+MONTH(DATE(2028,1,1)))) + 1),0)</f>
        <v/>
      </c>
      <c r="AN21" s="16">
        <f>IF(($G$21&lt;=DATE(2028,6,30))*($H$21&gt;=DATE(2028,4,1)),$C$21 * $F$21 * MAX(0, MIN((YEAR($H$21)*12+MONTH($H$21)), (YEAR(DATE(2028,6,30))*12+MONTH(DATE(2028,6,30)))) - MAX((YEAR($G$21)*12+MONTH($G$21)), (YEAR(DATE(2028,4,1))*12+MONTH(DATE(2028,4,1)))) + 1),0)</f>
        <v/>
      </c>
      <c r="AO21" s="16">
        <f>IF(($G$21&lt;=DATE(2028,9,30))*($H$21&gt;=DATE(2028,7,1)),$C$21 * $F$21 * MAX(0, MIN((YEAR($H$21)*12+MONTH($H$21)), (YEAR(DATE(2028,9,30))*12+MONTH(DATE(2028,9,30)))) - MAX((YEAR($G$21)*12+MONTH($G$21)), (YEAR(DATE(2028,7,1))*12+MONTH(DATE(2028,7,1)))) + 1),0)</f>
        <v/>
      </c>
      <c r="AP21" s="16">
        <f>IF(($G$21&lt;=DATE(2028,12,31))*($H$21&gt;=DATE(2028,10,1)),$C$21 * $F$21 * MAX(0, MIN((YEAR($H$21)*12+MONTH($H$21)), (YEAR(DATE(2028,12,31))*12+MONTH(DATE(2028,12,31)))) - MAX((YEAR($G$21)*12+MONTH($G$21)), (YEAR(DATE(2028,10,1))*12+MONTH(DATE(2028,10,1)))) + 1),0)</f>
        <v/>
      </c>
      <c r="AQ21" s="16">
        <f>IF(AND($D$21 &gt;= DATE(2021,1,1), $D$21 &lt;= DATE(2021,3,31)), $C$21 * $E$21 * $F$21, 0)</f>
        <v/>
      </c>
      <c r="AR21" s="16">
        <f>IF(AND($D$21 &gt;= DATE(2021,4,1), $D$21 &lt;= DATE(2021,6,30)), $C$21 * $E$21 * $F$21, 0)</f>
        <v/>
      </c>
      <c r="AS21" s="16">
        <f>IF(AND($D$21 &gt;= DATE(2021,7,1), $D$21 &lt;= DATE(2021,9,30)), $C$21 * $E$21 * $F$21, 0)</f>
        <v/>
      </c>
      <c r="AT21" s="16">
        <f>IF(AND($D$21 &gt;= DATE(2021,10,1), $D$21 &lt;= DATE(2021,12,31)), $C$21 * $E$21 * $F$21, 0)</f>
        <v/>
      </c>
      <c r="AU21" s="16">
        <f>IF(AND($D$21 &gt;= DATE(2022,1,1), $D$21 &lt;= DATE(2022,3,31)), $C$21 * $E$21 * $F$21, 0)</f>
        <v/>
      </c>
      <c r="AV21" s="16">
        <f>IF(AND($D$21 &gt;= DATE(2022,4,1), $D$21 &lt;= DATE(2022,6,30)), $C$21 * $E$21 * $F$21, 0)</f>
        <v/>
      </c>
      <c r="AW21" s="16">
        <f>IF(AND($D$21 &gt;= DATE(2022,7,1), $D$21 &lt;= DATE(2022,9,30)), $C$21 * $E$21 * $F$21, 0)</f>
        <v/>
      </c>
      <c r="AX21" s="16">
        <f>IF(AND($D$21 &gt;= DATE(2022,10,1), $D$21 &lt;= DATE(2022,12,31)), $C$21 * $E$21 * $F$21, 0)</f>
        <v/>
      </c>
      <c r="AY21" s="16">
        <f>IF(AND($D$21 &gt;= DATE(2023,1,1), $D$21 &lt;= DATE(2023,3,31)), $C$21 * $E$21 * $F$21, 0)</f>
        <v/>
      </c>
      <c r="AZ21" s="16">
        <f>IF(AND($D$21 &gt;= DATE(2023,4,1), $D$21 &lt;= DATE(2023,6,30)), $C$21 * $E$21 * $F$21, 0)</f>
        <v/>
      </c>
      <c r="BA21" s="16">
        <f>IF(AND($D$21 &gt;= DATE(2023,7,1), $D$21 &lt;= DATE(2023,9,30)), $C$21 * $E$21 * $F$21, 0)</f>
        <v/>
      </c>
      <c r="BB21" s="16">
        <f>IF(AND($D$21 &gt;= DATE(2023,10,1), $D$21 &lt;= DATE(2023,12,31)), $C$21 * $E$21 * $F$21, 0)</f>
        <v/>
      </c>
      <c r="BC21" s="16">
        <f>IF(AND($D$21 &gt;= DATE(2024,1,1), $D$21 &lt;= DATE(2024,3,31)), $C$21 * $E$21 * $F$21, 0)</f>
        <v/>
      </c>
      <c r="BD21" s="16">
        <f>IF(AND($D$21 &gt;= DATE(2024,4,1), $D$21 &lt;= DATE(2024,6,30)), $C$21 * $E$21 * $F$21, 0)</f>
        <v/>
      </c>
      <c r="BE21" s="16">
        <f>IF(AND($D$21 &gt;= DATE(2024,7,1), $D$21 &lt;= DATE(2024,9,30)), $C$21 * $E$21 * $F$21, 0)</f>
        <v/>
      </c>
      <c r="BF21" s="16">
        <f>IF(AND($D$21 &gt;= DATE(2024,10,1), $D$21 &lt;= DATE(2024,12,31)), $C$21 * $E$21 * $F$21, 0)</f>
        <v/>
      </c>
      <c r="BG21" s="16">
        <f>IF(AND($D$21 &gt;= DATE(2025,1,1), $D$21 &lt;= DATE(2025,3,31)), $C$21 * $E$21 * $F$21, 0)</f>
        <v/>
      </c>
      <c r="BH21" s="16">
        <f>IF(AND($D$21 &gt;= DATE(2025,4,1), $D$21 &lt;= DATE(2025,6,30)), $C$21 * $E$21 * $F$21, 0)</f>
        <v/>
      </c>
      <c r="BI21" s="16">
        <f>IF(AND($D$21 &gt;= DATE(2025,7,1), $D$21 &lt;= DATE(2025,9,30)), $C$21 * $E$21 * $F$21, 0)</f>
        <v/>
      </c>
      <c r="BJ21" s="16">
        <f>IF(AND($D$21 &gt;= DATE(2025,10,1), $D$21 &lt;= DATE(2025,12,31)), $C$21 * $E$21 * $F$21, 0)</f>
        <v/>
      </c>
      <c r="BK21" s="16">
        <f>IF(AND($D$21 &gt;= DATE(2026,1,1), $D$21 &lt;= DATE(2026,3,31)), $C$21 * $E$21 * $F$21, 0)</f>
        <v/>
      </c>
      <c r="BL21" s="16">
        <f>IF(AND($D$21 &gt;= DATE(2026,4,1), $D$21 &lt;= DATE(2026,6,30)), $C$21 * $E$21 * $F$21, 0)</f>
        <v/>
      </c>
      <c r="BM21" s="16">
        <f>IF(AND($D$21 &gt;= DATE(2026,7,1), $D$21 &lt;= DATE(2026,9,30)), $C$21 * $E$21 * $F$21, 0)</f>
        <v/>
      </c>
      <c r="BN21" s="16">
        <f>IF(AND($D$21 &gt;= DATE(2026,10,1), $D$21 &lt;= DATE(2026,12,31)), $C$21 * $E$21 * $F$21, 0)</f>
        <v/>
      </c>
      <c r="BO21" s="16">
        <f>IF(AND($D$21 &gt;= DATE(2027,1,1), $D$21 &lt;= DATE(2027,3,31)), $C$21 * $E$21 * $F$21, 0)</f>
        <v/>
      </c>
      <c r="BP21" s="16">
        <f>IF(AND($D$21 &gt;= DATE(2027,4,1), $D$21 &lt;= DATE(2027,6,30)), $C$21 * $E$21 * $F$21, 0)</f>
        <v/>
      </c>
      <c r="BQ21" s="16">
        <f>IF(AND($D$21 &gt;= DATE(2027,7,1), $D$21 &lt;= DATE(2027,9,30)), $C$21 * $E$21 * $F$21, 0)</f>
        <v/>
      </c>
      <c r="BR21" s="16">
        <f>IF(AND($D$21 &gt;= DATE(2027,10,1), $D$21 &lt;= DATE(2027,12,31)), $C$21 * $E$21 * $F$21, 0)</f>
        <v/>
      </c>
      <c r="BS21" s="16">
        <f>IF(AND($D$21 &gt;= DATE(2028,1,1), $D$21 &lt;= DATE(2028,3,31)), $C$21 * $E$21 * $F$21, 0)</f>
        <v/>
      </c>
      <c r="BT21" s="16">
        <f>IF(AND($D$21 &gt;= DATE(2028,4,1), $D$21 &lt;= DATE(2028,6,30)), $C$21 * $E$21 * $F$21, 0)</f>
        <v/>
      </c>
      <c r="BU21" s="16">
        <f>IF(AND($D$21 &gt;= DATE(2028,7,1), $D$21 &lt;= DATE(2028,9,30)), $C$21 * $E$21 * $F$21, 0)</f>
        <v/>
      </c>
      <c r="BV21" s="16">
        <f>IF(AND($D$21 &gt;= DATE(2028,10,1), $D$21 &lt;= DATE(2028,12,31)), $C$21 * $E$21 * $F$21, 0)</f>
        <v/>
      </c>
    </row>
    <row r="22">
      <c r="B22" t="inlineStr">
        <is>
          <t>Foundry &gt; Harbourline Marine &gt; Recovery Mechanism Concept</t>
        </is>
      </c>
      <c r="C22" s="16" t="n">
        <v>27500</v>
      </c>
      <c r="D22" s="18" t="n">
        <v>46266</v>
      </c>
      <c r="E22" s="16" t="n">
        <v>2</v>
      </c>
      <c r="F22" s="19" t="n">
        <v>0.5</v>
      </c>
      <c r="G22" s="18" t="n">
        <v>46296</v>
      </c>
      <c r="H22" s="18" t="n">
        <v>46327</v>
      </c>
      <c r="I22" s="16">
        <f>$C$22 * $E$22</f>
        <v/>
      </c>
      <c r="J22" s="20">
        <f>$C$22 * $E$22 * $F$22</f>
        <v/>
      </c>
      <c r="K22" s="16">
        <f>IF(($G$22&lt;=DATE(2021,3,31))*($H$22&gt;=DATE(2021,1,1)),$C$22 * $F$22 * MAX(0, MIN((YEAR($H$22)*12+MONTH($H$22)), (YEAR(DATE(2021,3,31))*12+MONTH(DATE(2021,3,31)))) - MAX((YEAR($G$22)*12+MONTH($G$22)), (YEAR(DATE(2021,1,1))*12+MONTH(DATE(2021,1,1)))) + 1),0)</f>
        <v/>
      </c>
      <c r="L22" s="16">
        <f>IF(($G$22&lt;=DATE(2021,6,30))*($H$22&gt;=DATE(2021,4,1)),$C$22 * $F$22 * MAX(0, MIN((YEAR($H$22)*12+MONTH($H$22)), (YEAR(DATE(2021,6,30))*12+MONTH(DATE(2021,6,30)))) - MAX((YEAR($G$22)*12+MONTH($G$22)), (YEAR(DATE(2021,4,1))*12+MONTH(DATE(2021,4,1)))) + 1),0)</f>
        <v/>
      </c>
      <c r="M22" s="16">
        <f>IF(($G$22&lt;=DATE(2021,9,30))*($H$22&gt;=DATE(2021,7,1)),$C$22 * $F$22 * MAX(0, MIN((YEAR($H$22)*12+MONTH($H$22)), (YEAR(DATE(2021,9,30))*12+MONTH(DATE(2021,9,30)))) - MAX((YEAR($G$22)*12+MONTH($G$22)), (YEAR(DATE(2021,7,1))*12+MONTH(DATE(2021,7,1)))) + 1),0)</f>
        <v/>
      </c>
      <c r="N22" s="16">
        <f>IF(($G$22&lt;=DATE(2021,12,31))*($H$22&gt;=DATE(2021,10,1)),$C$22 * $F$22 * MAX(0, MIN((YEAR($H$22)*12+MONTH($H$22)), (YEAR(DATE(2021,12,31))*12+MONTH(DATE(2021,12,31)))) - MAX((YEAR($G$22)*12+MONTH($G$22)), (YEAR(DATE(2021,10,1))*12+MONTH(DATE(2021,10,1)))) + 1),0)</f>
        <v/>
      </c>
      <c r="O22" s="16">
        <f>IF(($G$22&lt;=DATE(2022,3,31))*($H$22&gt;=DATE(2022,1,1)),$C$22 * $F$22 * MAX(0, MIN((YEAR($H$22)*12+MONTH($H$22)), (YEAR(DATE(2022,3,31))*12+MONTH(DATE(2022,3,31)))) - MAX((YEAR($G$22)*12+MONTH($G$22)), (YEAR(DATE(2022,1,1))*12+MONTH(DATE(2022,1,1)))) + 1),0)</f>
        <v/>
      </c>
      <c r="P22" s="16">
        <f>IF(($G$22&lt;=DATE(2022,6,30))*($H$22&gt;=DATE(2022,4,1)),$C$22 * $F$22 * MAX(0, MIN((YEAR($H$22)*12+MONTH($H$22)), (YEAR(DATE(2022,6,30))*12+MONTH(DATE(2022,6,30)))) - MAX((YEAR($G$22)*12+MONTH($G$22)), (YEAR(DATE(2022,4,1))*12+MONTH(DATE(2022,4,1)))) + 1),0)</f>
        <v/>
      </c>
      <c r="Q22" s="16">
        <f>IF(($G$22&lt;=DATE(2022,9,30))*($H$22&gt;=DATE(2022,7,1)),$C$22 * $F$22 * MAX(0, MIN((YEAR($H$22)*12+MONTH($H$22)), (YEAR(DATE(2022,9,30))*12+MONTH(DATE(2022,9,30)))) - MAX((YEAR($G$22)*12+MONTH($G$22)), (YEAR(DATE(2022,7,1))*12+MONTH(DATE(2022,7,1)))) + 1),0)</f>
        <v/>
      </c>
      <c r="R22" s="16">
        <f>IF(($G$22&lt;=DATE(2022,12,31))*($H$22&gt;=DATE(2022,10,1)),$C$22 * $F$22 * MAX(0, MIN((YEAR($H$22)*12+MONTH($H$22)), (YEAR(DATE(2022,12,31))*12+MONTH(DATE(2022,12,31)))) - MAX((YEAR($G$22)*12+MONTH($G$22)), (YEAR(DATE(2022,10,1))*12+MONTH(DATE(2022,10,1)))) + 1),0)</f>
        <v/>
      </c>
      <c r="S22" s="16">
        <f>IF(($G$22&lt;=DATE(2023,3,31))*($H$22&gt;=DATE(2023,1,1)),$C$22 * $F$22 * MAX(0, MIN((YEAR($H$22)*12+MONTH($H$22)), (YEAR(DATE(2023,3,31))*12+MONTH(DATE(2023,3,31)))) - MAX((YEAR($G$22)*12+MONTH($G$22)), (YEAR(DATE(2023,1,1))*12+MONTH(DATE(2023,1,1)))) + 1),0)</f>
        <v/>
      </c>
      <c r="T22" s="16">
        <f>IF(($G$22&lt;=DATE(2023,6,30))*($H$22&gt;=DATE(2023,4,1)),$C$22 * $F$22 * MAX(0, MIN((YEAR($H$22)*12+MONTH($H$22)), (YEAR(DATE(2023,6,30))*12+MONTH(DATE(2023,6,30)))) - MAX((YEAR($G$22)*12+MONTH($G$22)), (YEAR(DATE(2023,4,1))*12+MONTH(DATE(2023,4,1)))) + 1),0)</f>
        <v/>
      </c>
      <c r="U22" s="16">
        <f>IF(($G$22&lt;=DATE(2023,9,30))*($H$22&gt;=DATE(2023,7,1)),$C$22 * $F$22 * MAX(0, MIN((YEAR($H$22)*12+MONTH($H$22)), (YEAR(DATE(2023,9,30))*12+MONTH(DATE(2023,9,30)))) - MAX((YEAR($G$22)*12+MONTH($G$22)), (YEAR(DATE(2023,7,1))*12+MONTH(DATE(2023,7,1)))) + 1),0)</f>
        <v/>
      </c>
      <c r="V22" s="16">
        <f>IF(($G$22&lt;=DATE(2023,12,31))*($H$22&gt;=DATE(2023,10,1)),$C$22 * $F$22 * MAX(0, MIN((YEAR($H$22)*12+MONTH($H$22)), (YEAR(DATE(2023,12,31))*12+MONTH(DATE(2023,12,31)))) - MAX((YEAR($G$22)*12+MONTH($G$22)), (YEAR(DATE(2023,10,1))*12+MONTH(DATE(2023,10,1)))) + 1),0)</f>
        <v/>
      </c>
      <c r="W22" s="16">
        <f>IF(($G$22&lt;=DATE(2024,3,31))*($H$22&gt;=DATE(2024,1,1)),$C$22 * $F$22 * MAX(0, MIN((YEAR($H$22)*12+MONTH($H$22)), (YEAR(DATE(2024,3,31))*12+MONTH(DATE(2024,3,31)))) - MAX((YEAR($G$22)*12+MONTH($G$22)), (YEAR(DATE(2024,1,1))*12+MONTH(DATE(2024,1,1)))) + 1),0)</f>
        <v/>
      </c>
      <c r="X22" s="16">
        <f>IF(($G$22&lt;=DATE(2024,6,30))*($H$22&gt;=DATE(2024,4,1)),$C$22 * $F$22 * MAX(0, MIN((YEAR($H$22)*12+MONTH($H$22)), (YEAR(DATE(2024,6,30))*12+MONTH(DATE(2024,6,30)))) - MAX((YEAR($G$22)*12+MONTH($G$22)), (YEAR(DATE(2024,4,1))*12+MONTH(DATE(2024,4,1)))) + 1),0)</f>
        <v/>
      </c>
      <c r="Y22" s="16">
        <f>IF(($G$22&lt;=DATE(2024,9,30))*($H$22&gt;=DATE(2024,7,1)),$C$22 * $F$22 * MAX(0, MIN((YEAR($H$22)*12+MONTH($H$22)), (YEAR(DATE(2024,9,30))*12+MONTH(DATE(2024,9,30)))) - MAX((YEAR($G$22)*12+MONTH($G$22)), (YEAR(DATE(2024,7,1))*12+MONTH(DATE(2024,7,1)))) + 1),0)</f>
        <v/>
      </c>
      <c r="Z22" s="16">
        <f>IF(($G$22&lt;=DATE(2024,12,31))*($H$22&gt;=DATE(2024,10,1)),$C$22 * $F$22 * MAX(0, MIN((YEAR($H$22)*12+MONTH($H$22)), (YEAR(DATE(2024,12,31))*12+MONTH(DATE(2024,12,31)))) - MAX((YEAR($G$22)*12+MONTH($G$22)), (YEAR(DATE(2024,10,1))*12+MONTH(DATE(2024,10,1)))) + 1),0)</f>
        <v/>
      </c>
      <c r="AA22" s="16">
        <f>IF(($G$22&lt;=DATE(2025,3,31))*($H$22&gt;=DATE(2025,1,1)),$C$22 * $F$22 * MAX(0, MIN((YEAR($H$22)*12+MONTH($H$22)), (YEAR(DATE(2025,3,31))*12+MONTH(DATE(2025,3,31)))) - MAX((YEAR($G$22)*12+MONTH($G$22)), (YEAR(DATE(2025,1,1))*12+MONTH(DATE(2025,1,1)))) + 1),0)</f>
        <v/>
      </c>
      <c r="AB22" s="16">
        <f>IF(($G$22&lt;=DATE(2025,6,30))*($H$22&gt;=DATE(2025,4,1)),$C$22 * $F$22 * MAX(0, MIN((YEAR($H$22)*12+MONTH($H$22)), (YEAR(DATE(2025,6,30))*12+MONTH(DATE(2025,6,30)))) - MAX((YEAR($G$22)*12+MONTH($G$22)), (YEAR(DATE(2025,4,1))*12+MONTH(DATE(2025,4,1)))) + 1),0)</f>
        <v/>
      </c>
      <c r="AC22" s="16">
        <f>IF(($G$22&lt;=DATE(2025,9,30))*($H$22&gt;=DATE(2025,7,1)),$C$22 * $F$22 * MAX(0, MIN((YEAR($H$22)*12+MONTH($H$22)), (YEAR(DATE(2025,9,30))*12+MONTH(DATE(2025,9,30)))) - MAX((YEAR($G$22)*12+MONTH($G$22)), (YEAR(DATE(2025,7,1))*12+MONTH(DATE(2025,7,1)))) + 1),0)</f>
        <v/>
      </c>
      <c r="AD22" s="16">
        <f>IF(($G$22&lt;=DATE(2025,12,31))*($H$22&gt;=DATE(2025,10,1)),$C$22 * $F$22 * MAX(0, MIN((YEAR($H$22)*12+MONTH($H$22)), (YEAR(DATE(2025,12,31))*12+MONTH(DATE(2025,12,31)))) - MAX((YEAR($G$22)*12+MONTH($G$22)), (YEAR(DATE(2025,10,1))*12+MONTH(DATE(2025,10,1)))) + 1),0)</f>
        <v/>
      </c>
      <c r="AE22" s="16">
        <f>IF(($G$22&lt;=DATE(2026,3,31))*($H$22&gt;=DATE(2026,1,1)),$C$22 * $F$22 * MAX(0, MIN((YEAR($H$22)*12+MONTH($H$22)), (YEAR(DATE(2026,3,31))*12+MONTH(DATE(2026,3,31)))) - MAX((YEAR($G$22)*12+MONTH($G$22)), (YEAR(DATE(2026,1,1))*12+MONTH(DATE(2026,1,1)))) + 1),0)</f>
        <v/>
      </c>
      <c r="AF22" s="16">
        <f>IF(($G$22&lt;=DATE(2026,6,30))*($H$22&gt;=DATE(2026,4,1)),$C$22 * $F$22 * MAX(0, MIN((YEAR($H$22)*12+MONTH($H$22)), (YEAR(DATE(2026,6,30))*12+MONTH(DATE(2026,6,30)))) - MAX((YEAR($G$22)*12+MONTH($G$22)), (YEAR(DATE(2026,4,1))*12+MONTH(DATE(2026,4,1)))) + 1),0)</f>
        <v/>
      </c>
      <c r="AG22" s="16">
        <f>IF(($G$22&lt;=DATE(2026,9,30))*($H$22&gt;=DATE(2026,7,1)),$C$22 * $F$22 * MAX(0, MIN((YEAR($H$22)*12+MONTH($H$22)), (YEAR(DATE(2026,9,30))*12+MONTH(DATE(2026,9,30)))) - MAX((YEAR($G$22)*12+MONTH($G$22)), (YEAR(DATE(2026,7,1))*12+MONTH(DATE(2026,7,1)))) + 1),0)</f>
        <v/>
      </c>
      <c r="AH22" s="16">
        <f>IF(($G$22&lt;=DATE(2026,12,31))*($H$22&gt;=DATE(2026,10,1)),$C$22 * $F$22 * MAX(0, MIN((YEAR($H$22)*12+MONTH($H$22)), (YEAR(DATE(2026,12,31))*12+MONTH(DATE(2026,12,31)))) - MAX((YEAR($G$22)*12+MONTH($G$22)), (YEAR(DATE(2026,10,1))*12+MONTH(DATE(2026,10,1)))) + 1),0)</f>
        <v/>
      </c>
      <c r="AI22" s="16">
        <f>IF(($G$22&lt;=DATE(2027,3,31))*($H$22&gt;=DATE(2027,1,1)),$C$22 * $F$22 * MAX(0, MIN((YEAR($H$22)*12+MONTH($H$22)), (YEAR(DATE(2027,3,31))*12+MONTH(DATE(2027,3,31)))) - MAX((YEAR($G$22)*12+MONTH($G$22)), (YEAR(DATE(2027,1,1))*12+MONTH(DATE(2027,1,1)))) + 1),0)</f>
        <v/>
      </c>
      <c r="AJ22" s="16">
        <f>IF(($G$22&lt;=DATE(2027,6,30))*($H$22&gt;=DATE(2027,4,1)),$C$22 * $F$22 * MAX(0, MIN((YEAR($H$22)*12+MONTH($H$22)), (YEAR(DATE(2027,6,30))*12+MONTH(DATE(2027,6,30)))) - MAX((YEAR($G$22)*12+MONTH($G$22)), (YEAR(DATE(2027,4,1))*12+MONTH(DATE(2027,4,1)))) + 1),0)</f>
        <v/>
      </c>
      <c r="AK22" s="16">
        <f>IF(($G$22&lt;=DATE(2027,9,30))*($H$22&gt;=DATE(2027,7,1)),$C$22 * $F$22 * MAX(0, MIN((YEAR($H$22)*12+MONTH($H$22)), (YEAR(DATE(2027,9,30))*12+MONTH(DATE(2027,9,30)))) - MAX((YEAR($G$22)*12+MONTH($G$22)), (YEAR(DATE(2027,7,1))*12+MONTH(DATE(2027,7,1)))) + 1),0)</f>
        <v/>
      </c>
      <c r="AL22" s="16">
        <f>IF(($G$22&lt;=DATE(2027,12,31))*($H$22&gt;=DATE(2027,10,1)),$C$22 * $F$22 * MAX(0, MIN((YEAR($H$22)*12+MONTH($H$22)), (YEAR(DATE(2027,12,31))*12+MONTH(DATE(2027,12,31)))) - MAX((YEAR($G$22)*12+MONTH($G$22)), (YEAR(DATE(2027,10,1))*12+MONTH(DATE(2027,10,1)))) + 1),0)</f>
        <v/>
      </c>
      <c r="AM22" s="16">
        <f>IF(($G$22&lt;=DATE(2028,3,31))*($H$22&gt;=DATE(2028,1,1)),$C$22 * $F$22 * MAX(0, MIN((YEAR($H$22)*12+MONTH($H$22)), (YEAR(DATE(2028,3,31))*12+MONTH(DATE(2028,3,31)))) - MAX((YEAR($G$22)*12+MONTH($G$22)), (YEAR(DATE(2028,1,1))*12+MONTH(DATE(2028,1,1)))) + 1),0)</f>
        <v/>
      </c>
      <c r="AN22" s="16">
        <f>IF(($G$22&lt;=DATE(2028,6,30))*($H$22&gt;=DATE(2028,4,1)),$C$22 * $F$22 * MAX(0, MIN((YEAR($H$22)*12+MONTH($H$22)), (YEAR(DATE(2028,6,30))*12+MONTH(DATE(2028,6,30)))) - MAX((YEAR($G$22)*12+MONTH($G$22)), (YEAR(DATE(2028,4,1))*12+MONTH(DATE(2028,4,1)))) + 1),0)</f>
        <v/>
      </c>
      <c r="AO22" s="16">
        <f>IF(($G$22&lt;=DATE(2028,9,30))*($H$22&gt;=DATE(2028,7,1)),$C$22 * $F$22 * MAX(0, MIN((YEAR($H$22)*12+MONTH($H$22)), (YEAR(DATE(2028,9,30))*12+MONTH(DATE(2028,9,30)))) - MAX((YEAR($G$22)*12+MONTH($G$22)), (YEAR(DATE(2028,7,1))*12+MONTH(DATE(2028,7,1)))) + 1),0)</f>
        <v/>
      </c>
      <c r="AP22" s="16">
        <f>IF(($G$22&lt;=DATE(2028,12,31))*($H$22&gt;=DATE(2028,10,1)),$C$22 * $F$22 * MAX(0, MIN((YEAR($H$22)*12+MONTH($H$22)), (YEAR(DATE(2028,12,31))*12+MONTH(DATE(2028,12,31)))) - MAX((YEAR($G$22)*12+MONTH($G$22)), (YEAR(DATE(2028,10,1))*12+MONTH(DATE(2028,10,1)))) + 1),0)</f>
        <v/>
      </c>
      <c r="AQ22" s="16">
        <f>IF(AND($D$22 &gt;= DATE(2021,1,1), $D$22 &lt;= DATE(2021,3,31)), $C$22 * $E$22 * $F$22, 0)</f>
        <v/>
      </c>
      <c r="AR22" s="16">
        <f>IF(AND($D$22 &gt;= DATE(2021,4,1), $D$22 &lt;= DATE(2021,6,30)), $C$22 * $E$22 * $F$22, 0)</f>
        <v/>
      </c>
      <c r="AS22" s="16">
        <f>IF(AND($D$22 &gt;= DATE(2021,7,1), $D$22 &lt;= DATE(2021,9,30)), $C$22 * $E$22 * $F$22, 0)</f>
        <v/>
      </c>
      <c r="AT22" s="16">
        <f>IF(AND($D$22 &gt;= DATE(2021,10,1), $D$22 &lt;= DATE(2021,12,31)), $C$22 * $E$22 * $F$22, 0)</f>
        <v/>
      </c>
      <c r="AU22" s="16">
        <f>IF(AND($D$22 &gt;= DATE(2022,1,1), $D$22 &lt;= DATE(2022,3,31)), $C$22 * $E$22 * $F$22, 0)</f>
        <v/>
      </c>
      <c r="AV22" s="16">
        <f>IF(AND($D$22 &gt;= DATE(2022,4,1), $D$22 &lt;= DATE(2022,6,30)), $C$22 * $E$22 * $F$22, 0)</f>
        <v/>
      </c>
      <c r="AW22" s="16">
        <f>IF(AND($D$22 &gt;= DATE(2022,7,1), $D$22 &lt;= DATE(2022,9,30)), $C$22 * $E$22 * $F$22, 0)</f>
        <v/>
      </c>
      <c r="AX22" s="16">
        <f>IF(AND($D$22 &gt;= DATE(2022,10,1), $D$22 &lt;= DATE(2022,12,31)), $C$22 * $E$22 * $F$22, 0)</f>
        <v/>
      </c>
      <c r="AY22" s="16">
        <f>IF(AND($D$22 &gt;= DATE(2023,1,1), $D$22 &lt;= DATE(2023,3,31)), $C$22 * $E$22 * $F$22, 0)</f>
        <v/>
      </c>
      <c r="AZ22" s="16">
        <f>IF(AND($D$22 &gt;= DATE(2023,4,1), $D$22 &lt;= DATE(2023,6,30)), $C$22 * $E$22 * $F$22, 0)</f>
        <v/>
      </c>
      <c r="BA22" s="16">
        <f>IF(AND($D$22 &gt;= DATE(2023,7,1), $D$22 &lt;= DATE(2023,9,30)), $C$22 * $E$22 * $F$22, 0)</f>
        <v/>
      </c>
      <c r="BB22" s="16">
        <f>IF(AND($D$22 &gt;= DATE(2023,10,1), $D$22 &lt;= DATE(2023,12,31)), $C$22 * $E$22 * $F$22, 0)</f>
        <v/>
      </c>
      <c r="BC22" s="16">
        <f>IF(AND($D$22 &gt;= DATE(2024,1,1), $D$22 &lt;= DATE(2024,3,31)), $C$22 * $E$22 * $F$22, 0)</f>
        <v/>
      </c>
      <c r="BD22" s="16">
        <f>IF(AND($D$22 &gt;= DATE(2024,4,1), $D$22 &lt;= DATE(2024,6,30)), $C$22 * $E$22 * $F$22, 0)</f>
        <v/>
      </c>
      <c r="BE22" s="16">
        <f>IF(AND($D$22 &gt;= DATE(2024,7,1), $D$22 &lt;= DATE(2024,9,30)), $C$22 * $E$22 * $F$22, 0)</f>
        <v/>
      </c>
      <c r="BF22" s="16">
        <f>IF(AND($D$22 &gt;= DATE(2024,10,1), $D$22 &lt;= DATE(2024,12,31)), $C$22 * $E$22 * $F$22, 0)</f>
        <v/>
      </c>
      <c r="BG22" s="16">
        <f>IF(AND($D$22 &gt;= DATE(2025,1,1), $D$22 &lt;= DATE(2025,3,31)), $C$22 * $E$22 * $F$22, 0)</f>
        <v/>
      </c>
      <c r="BH22" s="16">
        <f>IF(AND($D$22 &gt;= DATE(2025,4,1), $D$22 &lt;= DATE(2025,6,30)), $C$22 * $E$22 * $F$22, 0)</f>
        <v/>
      </c>
      <c r="BI22" s="16">
        <f>IF(AND($D$22 &gt;= DATE(2025,7,1), $D$22 &lt;= DATE(2025,9,30)), $C$22 * $E$22 * $F$22, 0)</f>
        <v/>
      </c>
      <c r="BJ22" s="16">
        <f>IF(AND($D$22 &gt;= DATE(2025,10,1), $D$22 &lt;= DATE(2025,12,31)), $C$22 * $E$22 * $F$22, 0)</f>
        <v/>
      </c>
      <c r="BK22" s="16">
        <f>IF(AND($D$22 &gt;= DATE(2026,1,1), $D$22 &lt;= DATE(2026,3,31)), $C$22 * $E$22 * $F$22, 0)</f>
        <v/>
      </c>
      <c r="BL22" s="16">
        <f>IF(AND($D$22 &gt;= DATE(2026,4,1), $D$22 &lt;= DATE(2026,6,30)), $C$22 * $E$22 * $F$22, 0)</f>
        <v/>
      </c>
      <c r="BM22" s="16">
        <f>IF(AND($D$22 &gt;= DATE(2026,7,1), $D$22 &lt;= DATE(2026,9,30)), $C$22 * $E$22 * $F$22, 0)</f>
        <v/>
      </c>
      <c r="BN22" s="16">
        <f>IF(AND($D$22 &gt;= DATE(2026,10,1), $D$22 &lt;= DATE(2026,12,31)), $C$22 * $E$22 * $F$22, 0)</f>
        <v/>
      </c>
      <c r="BO22" s="16">
        <f>IF(AND($D$22 &gt;= DATE(2027,1,1), $D$22 &lt;= DATE(2027,3,31)), $C$22 * $E$22 * $F$22, 0)</f>
        <v/>
      </c>
      <c r="BP22" s="16">
        <f>IF(AND($D$22 &gt;= DATE(2027,4,1), $D$22 &lt;= DATE(2027,6,30)), $C$22 * $E$22 * $F$22, 0)</f>
        <v/>
      </c>
      <c r="BQ22" s="16">
        <f>IF(AND($D$22 &gt;= DATE(2027,7,1), $D$22 &lt;= DATE(2027,9,30)), $C$22 * $E$22 * $F$22, 0)</f>
        <v/>
      </c>
      <c r="BR22" s="16">
        <f>IF(AND($D$22 &gt;= DATE(2027,10,1), $D$22 &lt;= DATE(2027,12,31)), $C$22 * $E$22 * $F$22, 0)</f>
        <v/>
      </c>
      <c r="BS22" s="16">
        <f>IF(AND($D$22 &gt;= DATE(2028,1,1), $D$22 &lt;= DATE(2028,3,31)), $C$22 * $E$22 * $F$22, 0)</f>
        <v/>
      </c>
      <c r="BT22" s="16">
        <f>IF(AND($D$22 &gt;= DATE(2028,4,1), $D$22 &lt;= DATE(2028,6,30)), $C$22 * $E$22 * $F$22, 0)</f>
        <v/>
      </c>
      <c r="BU22" s="16">
        <f>IF(AND($D$22 &gt;= DATE(2028,7,1), $D$22 &lt;= DATE(2028,9,30)), $C$22 * $E$22 * $F$22, 0)</f>
        <v/>
      </c>
      <c r="BV22" s="16">
        <f>IF(AND($D$22 &gt;= DATE(2028,10,1), $D$22 &lt;= DATE(2028,12,31)), $C$22 * $E$22 * $F$22, 0)</f>
        <v/>
      </c>
    </row>
    <row r="23">
      <c r="B23" t="inlineStr">
        <is>
          <t>Northfield &gt; Lumen Aerospace &gt; Second Procurement Round</t>
        </is>
      </c>
      <c r="C23" s="16" t="n">
        <v>160000</v>
      </c>
      <c r="D23" s="18" t="n">
        <v>46266</v>
      </c>
      <c r="E23" s="16" t="n">
        <v>2</v>
      </c>
      <c r="F23" s="19" t="n">
        <v>0.25</v>
      </c>
      <c r="G23" s="18" t="n">
        <v>46296</v>
      </c>
      <c r="H23" s="18" t="n">
        <v>46327</v>
      </c>
      <c r="I23" s="16">
        <f>$C$23 * $E$23</f>
        <v/>
      </c>
      <c r="J23" s="20">
        <f>$C$23 * $E$23 * $F$23</f>
        <v/>
      </c>
      <c r="K23" s="16">
        <f>IF(($G$23&lt;=DATE(2021,3,31))*($H$23&gt;=DATE(2021,1,1)),$C$23 * $F$23 * MAX(0, MIN((YEAR($H$23)*12+MONTH($H$23)), (YEAR(DATE(2021,3,31))*12+MONTH(DATE(2021,3,31)))) - MAX((YEAR($G$23)*12+MONTH($G$23)), (YEAR(DATE(2021,1,1))*12+MONTH(DATE(2021,1,1)))) + 1),0)</f>
        <v/>
      </c>
      <c r="L23" s="16">
        <f>IF(($G$23&lt;=DATE(2021,6,30))*($H$23&gt;=DATE(2021,4,1)),$C$23 * $F$23 * MAX(0, MIN((YEAR($H$23)*12+MONTH($H$23)), (YEAR(DATE(2021,6,30))*12+MONTH(DATE(2021,6,30)))) - MAX((YEAR($G$23)*12+MONTH($G$23)), (YEAR(DATE(2021,4,1))*12+MONTH(DATE(2021,4,1)))) + 1),0)</f>
        <v/>
      </c>
      <c r="M23" s="16">
        <f>IF(($G$23&lt;=DATE(2021,9,30))*($H$23&gt;=DATE(2021,7,1)),$C$23 * $F$23 * MAX(0, MIN((YEAR($H$23)*12+MONTH($H$23)), (YEAR(DATE(2021,9,30))*12+MONTH(DATE(2021,9,30)))) - MAX((YEAR($G$23)*12+MONTH($G$23)), (YEAR(DATE(2021,7,1))*12+MONTH(DATE(2021,7,1)))) + 1),0)</f>
        <v/>
      </c>
      <c r="N23" s="16">
        <f>IF(($G$23&lt;=DATE(2021,12,31))*($H$23&gt;=DATE(2021,10,1)),$C$23 * $F$23 * MAX(0, MIN((YEAR($H$23)*12+MONTH($H$23)), (YEAR(DATE(2021,12,31))*12+MONTH(DATE(2021,12,31)))) - MAX((YEAR($G$23)*12+MONTH($G$23)), (YEAR(DATE(2021,10,1))*12+MONTH(DATE(2021,10,1)))) + 1),0)</f>
        <v/>
      </c>
      <c r="O23" s="16">
        <f>IF(($G$23&lt;=DATE(2022,3,31))*($H$23&gt;=DATE(2022,1,1)),$C$23 * $F$23 * MAX(0, MIN((YEAR($H$23)*12+MONTH($H$23)), (YEAR(DATE(2022,3,31))*12+MONTH(DATE(2022,3,31)))) - MAX((YEAR($G$23)*12+MONTH($G$23)), (YEAR(DATE(2022,1,1))*12+MONTH(DATE(2022,1,1)))) + 1),0)</f>
        <v/>
      </c>
      <c r="P23" s="16">
        <f>IF(($G$23&lt;=DATE(2022,6,30))*($H$23&gt;=DATE(2022,4,1)),$C$23 * $F$23 * MAX(0, MIN((YEAR($H$23)*12+MONTH($H$23)), (YEAR(DATE(2022,6,30))*12+MONTH(DATE(2022,6,30)))) - MAX((YEAR($G$23)*12+MONTH($G$23)), (YEAR(DATE(2022,4,1))*12+MONTH(DATE(2022,4,1)))) + 1),0)</f>
        <v/>
      </c>
      <c r="Q23" s="16">
        <f>IF(($G$23&lt;=DATE(2022,9,30))*($H$23&gt;=DATE(2022,7,1)),$C$23 * $F$23 * MAX(0, MIN((YEAR($H$23)*12+MONTH($H$23)), (YEAR(DATE(2022,9,30))*12+MONTH(DATE(2022,9,30)))) - MAX((YEAR($G$23)*12+MONTH($G$23)), (YEAR(DATE(2022,7,1))*12+MONTH(DATE(2022,7,1)))) + 1),0)</f>
        <v/>
      </c>
      <c r="R23" s="16">
        <f>IF(($G$23&lt;=DATE(2022,12,31))*($H$23&gt;=DATE(2022,10,1)),$C$23 * $F$23 * MAX(0, MIN((YEAR($H$23)*12+MONTH($H$23)), (YEAR(DATE(2022,12,31))*12+MONTH(DATE(2022,12,31)))) - MAX((YEAR($G$23)*12+MONTH($G$23)), (YEAR(DATE(2022,10,1))*12+MONTH(DATE(2022,10,1)))) + 1),0)</f>
        <v/>
      </c>
      <c r="S23" s="16">
        <f>IF(($G$23&lt;=DATE(2023,3,31))*($H$23&gt;=DATE(2023,1,1)),$C$23 * $F$23 * MAX(0, MIN((YEAR($H$23)*12+MONTH($H$23)), (YEAR(DATE(2023,3,31))*12+MONTH(DATE(2023,3,31)))) - MAX((YEAR($G$23)*12+MONTH($G$23)), (YEAR(DATE(2023,1,1))*12+MONTH(DATE(2023,1,1)))) + 1),0)</f>
        <v/>
      </c>
      <c r="T23" s="16">
        <f>IF(($G$23&lt;=DATE(2023,6,30))*($H$23&gt;=DATE(2023,4,1)),$C$23 * $F$23 * MAX(0, MIN((YEAR($H$23)*12+MONTH($H$23)), (YEAR(DATE(2023,6,30))*12+MONTH(DATE(2023,6,30)))) - MAX((YEAR($G$23)*12+MONTH($G$23)), (YEAR(DATE(2023,4,1))*12+MONTH(DATE(2023,4,1)))) + 1),0)</f>
        <v/>
      </c>
      <c r="U23" s="16">
        <f>IF(($G$23&lt;=DATE(2023,9,30))*($H$23&gt;=DATE(2023,7,1)),$C$23 * $F$23 * MAX(0, MIN((YEAR($H$23)*12+MONTH($H$23)), (YEAR(DATE(2023,9,30))*12+MONTH(DATE(2023,9,30)))) - MAX((YEAR($G$23)*12+MONTH($G$23)), (YEAR(DATE(2023,7,1))*12+MONTH(DATE(2023,7,1)))) + 1),0)</f>
        <v/>
      </c>
      <c r="V23" s="16">
        <f>IF(($G$23&lt;=DATE(2023,12,31))*($H$23&gt;=DATE(2023,10,1)),$C$23 * $F$23 * MAX(0, MIN((YEAR($H$23)*12+MONTH($H$23)), (YEAR(DATE(2023,12,31))*12+MONTH(DATE(2023,12,31)))) - MAX((YEAR($G$23)*12+MONTH($G$23)), (YEAR(DATE(2023,10,1))*12+MONTH(DATE(2023,10,1)))) + 1),0)</f>
        <v/>
      </c>
      <c r="W23" s="16">
        <f>IF(($G$23&lt;=DATE(2024,3,31))*($H$23&gt;=DATE(2024,1,1)),$C$23 * $F$23 * MAX(0, MIN((YEAR($H$23)*12+MONTH($H$23)), (YEAR(DATE(2024,3,31))*12+MONTH(DATE(2024,3,31)))) - MAX((YEAR($G$23)*12+MONTH($G$23)), (YEAR(DATE(2024,1,1))*12+MONTH(DATE(2024,1,1)))) + 1),0)</f>
        <v/>
      </c>
      <c r="X23" s="16">
        <f>IF(($G$23&lt;=DATE(2024,6,30))*($H$23&gt;=DATE(2024,4,1)),$C$23 * $F$23 * MAX(0, MIN((YEAR($H$23)*12+MONTH($H$23)), (YEAR(DATE(2024,6,30))*12+MONTH(DATE(2024,6,30)))) - MAX((YEAR($G$23)*12+MONTH($G$23)), (YEAR(DATE(2024,4,1))*12+MONTH(DATE(2024,4,1)))) + 1),0)</f>
        <v/>
      </c>
      <c r="Y23" s="16">
        <f>IF(($G$23&lt;=DATE(2024,9,30))*($H$23&gt;=DATE(2024,7,1)),$C$23 * $F$23 * MAX(0, MIN((YEAR($H$23)*12+MONTH($H$23)), (YEAR(DATE(2024,9,30))*12+MONTH(DATE(2024,9,30)))) - MAX((YEAR($G$23)*12+MONTH($G$23)), (YEAR(DATE(2024,7,1))*12+MONTH(DATE(2024,7,1)))) + 1),0)</f>
        <v/>
      </c>
      <c r="Z23" s="16">
        <f>IF(($G$23&lt;=DATE(2024,12,31))*($H$23&gt;=DATE(2024,10,1)),$C$23 * $F$23 * MAX(0, MIN((YEAR($H$23)*12+MONTH($H$23)), (YEAR(DATE(2024,12,31))*12+MONTH(DATE(2024,12,31)))) - MAX((YEAR($G$23)*12+MONTH($G$23)), (YEAR(DATE(2024,10,1))*12+MONTH(DATE(2024,10,1)))) + 1),0)</f>
        <v/>
      </c>
      <c r="AA23" s="16">
        <f>IF(($G$23&lt;=DATE(2025,3,31))*($H$23&gt;=DATE(2025,1,1)),$C$23 * $F$23 * MAX(0, MIN((YEAR($H$23)*12+MONTH($H$23)), (YEAR(DATE(2025,3,31))*12+MONTH(DATE(2025,3,31)))) - MAX((YEAR($G$23)*12+MONTH($G$23)), (YEAR(DATE(2025,1,1))*12+MONTH(DATE(2025,1,1)))) + 1),0)</f>
        <v/>
      </c>
      <c r="AB23" s="16">
        <f>IF(($G$23&lt;=DATE(2025,6,30))*($H$23&gt;=DATE(2025,4,1)),$C$23 * $F$23 * MAX(0, MIN((YEAR($H$23)*12+MONTH($H$23)), (YEAR(DATE(2025,6,30))*12+MONTH(DATE(2025,6,30)))) - MAX((YEAR($G$23)*12+MONTH($G$23)), (YEAR(DATE(2025,4,1))*12+MONTH(DATE(2025,4,1)))) + 1),0)</f>
        <v/>
      </c>
      <c r="AC23" s="16">
        <f>IF(($G$23&lt;=DATE(2025,9,30))*($H$23&gt;=DATE(2025,7,1)),$C$23 * $F$23 * MAX(0, MIN((YEAR($H$23)*12+MONTH($H$23)), (YEAR(DATE(2025,9,30))*12+MONTH(DATE(2025,9,30)))) - MAX((YEAR($G$23)*12+MONTH($G$23)), (YEAR(DATE(2025,7,1))*12+MONTH(DATE(2025,7,1)))) + 1),0)</f>
        <v/>
      </c>
      <c r="AD23" s="16">
        <f>IF(($G$23&lt;=DATE(2025,12,31))*($H$23&gt;=DATE(2025,10,1)),$C$23 * $F$23 * MAX(0, MIN((YEAR($H$23)*12+MONTH($H$23)), (YEAR(DATE(2025,12,31))*12+MONTH(DATE(2025,12,31)))) - MAX((YEAR($G$23)*12+MONTH($G$23)), (YEAR(DATE(2025,10,1))*12+MONTH(DATE(2025,10,1)))) + 1),0)</f>
        <v/>
      </c>
      <c r="AE23" s="16">
        <f>IF(($G$23&lt;=DATE(2026,3,31))*($H$23&gt;=DATE(2026,1,1)),$C$23 * $F$23 * MAX(0, MIN((YEAR($H$23)*12+MONTH($H$23)), (YEAR(DATE(2026,3,31))*12+MONTH(DATE(2026,3,31)))) - MAX((YEAR($G$23)*12+MONTH($G$23)), (YEAR(DATE(2026,1,1))*12+MONTH(DATE(2026,1,1)))) + 1),0)</f>
        <v/>
      </c>
      <c r="AF23" s="16">
        <f>IF(($G$23&lt;=DATE(2026,6,30))*($H$23&gt;=DATE(2026,4,1)),$C$23 * $F$23 * MAX(0, MIN((YEAR($H$23)*12+MONTH($H$23)), (YEAR(DATE(2026,6,30))*12+MONTH(DATE(2026,6,30)))) - MAX((YEAR($G$23)*12+MONTH($G$23)), (YEAR(DATE(2026,4,1))*12+MONTH(DATE(2026,4,1)))) + 1),0)</f>
        <v/>
      </c>
      <c r="AG23" s="16">
        <f>IF(($G$23&lt;=DATE(2026,9,30))*($H$23&gt;=DATE(2026,7,1)),$C$23 * $F$23 * MAX(0, MIN((YEAR($H$23)*12+MONTH($H$23)), (YEAR(DATE(2026,9,30))*12+MONTH(DATE(2026,9,30)))) - MAX((YEAR($G$23)*12+MONTH($G$23)), (YEAR(DATE(2026,7,1))*12+MONTH(DATE(2026,7,1)))) + 1),0)</f>
        <v/>
      </c>
      <c r="AH23" s="16">
        <f>IF(($G$23&lt;=DATE(2026,12,31))*($H$23&gt;=DATE(2026,10,1)),$C$23 * $F$23 * MAX(0, MIN((YEAR($H$23)*12+MONTH($H$23)), (YEAR(DATE(2026,12,31))*12+MONTH(DATE(2026,12,31)))) - MAX((YEAR($G$23)*12+MONTH($G$23)), (YEAR(DATE(2026,10,1))*12+MONTH(DATE(2026,10,1)))) + 1),0)</f>
        <v/>
      </c>
      <c r="AI23" s="16">
        <f>IF(($G$23&lt;=DATE(2027,3,31))*($H$23&gt;=DATE(2027,1,1)),$C$23 * $F$23 * MAX(0, MIN((YEAR($H$23)*12+MONTH($H$23)), (YEAR(DATE(2027,3,31))*12+MONTH(DATE(2027,3,31)))) - MAX((YEAR($G$23)*12+MONTH($G$23)), (YEAR(DATE(2027,1,1))*12+MONTH(DATE(2027,1,1)))) + 1),0)</f>
        <v/>
      </c>
      <c r="AJ23" s="16">
        <f>IF(($G$23&lt;=DATE(2027,6,30))*($H$23&gt;=DATE(2027,4,1)),$C$23 * $F$23 * MAX(0, MIN((YEAR($H$23)*12+MONTH($H$23)), (YEAR(DATE(2027,6,30))*12+MONTH(DATE(2027,6,30)))) - MAX((YEAR($G$23)*12+MONTH($G$23)), (YEAR(DATE(2027,4,1))*12+MONTH(DATE(2027,4,1)))) + 1),0)</f>
        <v/>
      </c>
      <c r="AK23" s="16">
        <f>IF(($G$23&lt;=DATE(2027,9,30))*($H$23&gt;=DATE(2027,7,1)),$C$23 * $F$23 * MAX(0, MIN((YEAR($H$23)*12+MONTH($H$23)), (YEAR(DATE(2027,9,30))*12+MONTH(DATE(2027,9,30)))) - MAX((YEAR($G$23)*12+MONTH($G$23)), (YEAR(DATE(2027,7,1))*12+MONTH(DATE(2027,7,1)))) + 1),0)</f>
        <v/>
      </c>
      <c r="AL23" s="16">
        <f>IF(($G$23&lt;=DATE(2027,12,31))*($H$23&gt;=DATE(2027,10,1)),$C$23 * $F$23 * MAX(0, MIN((YEAR($H$23)*12+MONTH($H$23)), (YEAR(DATE(2027,12,31))*12+MONTH(DATE(2027,12,31)))) - MAX((YEAR($G$23)*12+MONTH($G$23)), (YEAR(DATE(2027,10,1))*12+MONTH(DATE(2027,10,1)))) + 1),0)</f>
        <v/>
      </c>
      <c r="AM23" s="16">
        <f>IF(($G$23&lt;=DATE(2028,3,31))*($H$23&gt;=DATE(2028,1,1)),$C$23 * $F$23 * MAX(0, MIN((YEAR($H$23)*12+MONTH($H$23)), (YEAR(DATE(2028,3,31))*12+MONTH(DATE(2028,3,31)))) - MAX((YEAR($G$23)*12+MONTH($G$23)), (YEAR(DATE(2028,1,1))*12+MONTH(DATE(2028,1,1)))) + 1),0)</f>
        <v/>
      </c>
      <c r="AN23" s="16">
        <f>IF(($G$23&lt;=DATE(2028,6,30))*($H$23&gt;=DATE(2028,4,1)),$C$23 * $F$23 * MAX(0, MIN((YEAR($H$23)*12+MONTH($H$23)), (YEAR(DATE(2028,6,30))*12+MONTH(DATE(2028,6,30)))) - MAX((YEAR($G$23)*12+MONTH($G$23)), (YEAR(DATE(2028,4,1))*12+MONTH(DATE(2028,4,1)))) + 1),0)</f>
        <v/>
      </c>
      <c r="AO23" s="16">
        <f>IF(($G$23&lt;=DATE(2028,9,30))*($H$23&gt;=DATE(2028,7,1)),$C$23 * $F$23 * MAX(0, MIN((YEAR($H$23)*12+MONTH($H$23)), (YEAR(DATE(2028,9,30))*12+MONTH(DATE(2028,9,30)))) - MAX((YEAR($G$23)*12+MONTH($G$23)), (YEAR(DATE(2028,7,1))*12+MONTH(DATE(2028,7,1)))) + 1),0)</f>
        <v/>
      </c>
      <c r="AP23" s="16">
        <f>IF(($G$23&lt;=DATE(2028,12,31))*($H$23&gt;=DATE(2028,10,1)),$C$23 * $F$23 * MAX(0, MIN((YEAR($H$23)*12+MONTH($H$23)), (YEAR(DATE(2028,12,31))*12+MONTH(DATE(2028,12,31)))) - MAX((YEAR($G$23)*12+MONTH($G$23)), (YEAR(DATE(2028,10,1))*12+MONTH(DATE(2028,10,1)))) + 1),0)</f>
        <v/>
      </c>
      <c r="AQ23" s="16">
        <f>IF(AND($D$23 &gt;= DATE(2021,1,1), $D$23 &lt;= DATE(2021,3,31)), $C$23 * $E$23 * $F$23, 0)</f>
        <v/>
      </c>
      <c r="AR23" s="16">
        <f>IF(AND($D$23 &gt;= DATE(2021,4,1), $D$23 &lt;= DATE(2021,6,30)), $C$23 * $E$23 * $F$23, 0)</f>
        <v/>
      </c>
      <c r="AS23" s="16">
        <f>IF(AND($D$23 &gt;= DATE(2021,7,1), $D$23 &lt;= DATE(2021,9,30)), $C$23 * $E$23 * $F$23, 0)</f>
        <v/>
      </c>
      <c r="AT23" s="16">
        <f>IF(AND($D$23 &gt;= DATE(2021,10,1), $D$23 &lt;= DATE(2021,12,31)), $C$23 * $E$23 * $F$23, 0)</f>
        <v/>
      </c>
      <c r="AU23" s="16">
        <f>IF(AND($D$23 &gt;= DATE(2022,1,1), $D$23 &lt;= DATE(2022,3,31)), $C$23 * $E$23 * $F$23, 0)</f>
        <v/>
      </c>
      <c r="AV23" s="16">
        <f>IF(AND($D$23 &gt;= DATE(2022,4,1), $D$23 &lt;= DATE(2022,6,30)), $C$23 * $E$23 * $F$23, 0)</f>
        <v/>
      </c>
      <c r="AW23" s="16">
        <f>IF(AND($D$23 &gt;= DATE(2022,7,1), $D$23 &lt;= DATE(2022,9,30)), $C$23 * $E$23 * $F$23, 0)</f>
        <v/>
      </c>
      <c r="AX23" s="16">
        <f>IF(AND($D$23 &gt;= DATE(2022,10,1), $D$23 &lt;= DATE(2022,12,31)), $C$23 * $E$23 * $F$23, 0)</f>
        <v/>
      </c>
      <c r="AY23" s="16">
        <f>IF(AND($D$23 &gt;= DATE(2023,1,1), $D$23 &lt;= DATE(2023,3,31)), $C$23 * $E$23 * $F$23, 0)</f>
        <v/>
      </c>
      <c r="AZ23" s="16">
        <f>IF(AND($D$23 &gt;= DATE(2023,4,1), $D$23 &lt;= DATE(2023,6,30)), $C$23 * $E$23 * $F$23, 0)</f>
        <v/>
      </c>
      <c r="BA23" s="16">
        <f>IF(AND($D$23 &gt;= DATE(2023,7,1), $D$23 &lt;= DATE(2023,9,30)), $C$23 * $E$23 * $F$23, 0)</f>
        <v/>
      </c>
      <c r="BB23" s="16">
        <f>IF(AND($D$23 &gt;= DATE(2023,10,1), $D$23 &lt;= DATE(2023,12,31)), $C$23 * $E$23 * $F$23, 0)</f>
        <v/>
      </c>
      <c r="BC23" s="16">
        <f>IF(AND($D$23 &gt;= DATE(2024,1,1), $D$23 &lt;= DATE(2024,3,31)), $C$23 * $E$23 * $F$23, 0)</f>
        <v/>
      </c>
      <c r="BD23" s="16">
        <f>IF(AND($D$23 &gt;= DATE(2024,4,1), $D$23 &lt;= DATE(2024,6,30)), $C$23 * $E$23 * $F$23, 0)</f>
        <v/>
      </c>
      <c r="BE23" s="16">
        <f>IF(AND($D$23 &gt;= DATE(2024,7,1), $D$23 &lt;= DATE(2024,9,30)), $C$23 * $E$23 * $F$23, 0)</f>
        <v/>
      </c>
      <c r="BF23" s="16">
        <f>IF(AND($D$23 &gt;= DATE(2024,10,1), $D$23 &lt;= DATE(2024,12,31)), $C$23 * $E$23 * $F$23, 0)</f>
        <v/>
      </c>
      <c r="BG23" s="16">
        <f>IF(AND($D$23 &gt;= DATE(2025,1,1), $D$23 &lt;= DATE(2025,3,31)), $C$23 * $E$23 * $F$23, 0)</f>
        <v/>
      </c>
      <c r="BH23" s="16">
        <f>IF(AND($D$23 &gt;= DATE(2025,4,1), $D$23 &lt;= DATE(2025,6,30)), $C$23 * $E$23 * $F$23, 0)</f>
        <v/>
      </c>
      <c r="BI23" s="16">
        <f>IF(AND($D$23 &gt;= DATE(2025,7,1), $D$23 &lt;= DATE(2025,9,30)), $C$23 * $E$23 * $F$23, 0)</f>
        <v/>
      </c>
      <c r="BJ23" s="16">
        <f>IF(AND($D$23 &gt;= DATE(2025,10,1), $D$23 &lt;= DATE(2025,12,31)), $C$23 * $E$23 * $F$23, 0)</f>
        <v/>
      </c>
      <c r="BK23" s="16">
        <f>IF(AND($D$23 &gt;= DATE(2026,1,1), $D$23 &lt;= DATE(2026,3,31)), $C$23 * $E$23 * $F$23, 0)</f>
        <v/>
      </c>
      <c r="BL23" s="16">
        <f>IF(AND($D$23 &gt;= DATE(2026,4,1), $D$23 &lt;= DATE(2026,6,30)), $C$23 * $E$23 * $F$23, 0)</f>
        <v/>
      </c>
      <c r="BM23" s="16">
        <f>IF(AND($D$23 &gt;= DATE(2026,7,1), $D$23 &lt;= DATE(2026,9,30)), $C$23 * $E$23 * $F$23, 0)</f>
        <v/>
      </c>
      <c r="BN23" s="16">
        <f>IF(AND($D$23 &gt;= DATE(2026,10,1), $D$23 &lt;= DATE(2026,12,31)), $C$23 * $E$23 * $F$23, 0)</f>
        <v/>
      </c>
      <c r="BO23" s="16">
        <f>IF(AND($D$23 &gt;= DATE(2027,1,1), $D$23 &lt;= DATE(2027,3,31)), $C$23 * $E$23 * $F$23, 0)</f>
        <v/>
      </c>
      <c r="BP23" s="16">
        <f>IF(AND($D$23 &gt;= DATE(2027,4,1), $D$23 &lt;= DATE(2027,6,30)), $C$23 * $E$23 * $F$23, 0)</f>
        <v/>
      </c>
      <c r="BQ23" s="16">
        <f>IF(AND($D$23 &gt;= DATE(2027,7,1), $D$23 &lt;= DATE(2027,9,30)), $C$23 * $E$23 * $F$23, 0)</f>
        <v/>
      </c>
      <c r="BR23" s="16">
        <f>IF(AND($D$23 &gt;= DATE(2027,10,1), $D$23 &lt;= DATE(2027,12,31)), $C$23 * $E$23 * $F$23, 0)</f>
        <v/>
      </c>
      <c r="BS23" s="16">
        <f>IF(AND($D$23 &gt;= DATE(2028,1,1), $D$23 &lt;= DATE(2028,3,31)), $C$23 * $E$23 * $F$23, 0)</f>
        <v/>
      </c>
      <c r="BT23" s="16">
        <f>IF(AND($D$23 &gt;= DATE(2028,4,1), $D$23 &lt;= DATE(2028,6,30)), $C$23 * $E$23 * $F$23, 0)</f>
        <v/>
      </c>
      <c r="BU23" s="16">
        <f>IF(AND($D$23 &gt;= DATE(2028,7,1), $D$23 &lt;= DATE(2028,9,30)), $C$23 * $E$23 * $F$23, 0)</f>
        <v/>
      </c>
      <c r="BV23" s="16">
        <f>IF(AND($D$23 &gt;= DATE(2028,10,1), $D$23 &lt;= DATE(2028,12,31)), $C$23 * $E$23 * $F$23, 0)</f>
        <v/>
      </c>
    </row>
    <row r="24">
      <c r="B24" t="inlineStr">
        <is>
          <t>Northfield &gt; Lumen Aerospace &gt; Design Review and Engineering Unit</t>
        </is>
      </c>
      <c r="C24" s="16" t="n">
        <v>130000</v>
      </c>
      <c r="D24" s="18" t="n">
        <v>46266</v>
      </c>
      <c r="E24" s="16" t="n">
        <v>6</v>
      </c>
      <c r="F24" s="19" t="n">
        <v>0.9</v>
      </c>
      <c r="G24" s="18" t="n">
        <v>46296</v>
      </c>
      <c r="H24" s="18" t="n">
        <v>46447</v>
      </c>
      <c r="I24" s="16">
        <f>$C$24 * $E$24</f>
        <v/>
      </c>
      <c r="J24" s="20">
        <f>$C$24 * $E$24 * $F$24</f>
        <v/>
      </c>
      <c r="K24" s="16">
        <f>IF(($G$24&lt;=DATE(2021,3,31))*($H$24&gt;=DATE(2021,1,1)),$C$24 * $F$24 * MAX(0, MIN((YEAR($H$24)*12+MONTH($H$24)), (YEAR(DATE(2021,3,31))*12+MONTH(DATE(2021,3,31)))) - MAX((YEAR($G$24)*12+MONTH($G$24)), (YEAR(DATE(2021,1,1))*12+MONTH(DATE(2021,1,1)))) + 1),0)</f>
        <v/>
      </c>
      <c r="L24" s="16">
        <f>IF(($G$24&lt;=DATE(2021,6,30))*($H$24&gt;=DATE(2021,4,1)),$C$24 * $F$24 * MAX(0, MIN((YEAR($H$24)*12+MONTH($H$24)), (YEAR(DATE(2021,6,30))*12+MONTH(DATE(2021,6,30)))) - MAX((YEAR($G$24)*12+MONTH($G$24)), (YEAR(DATE(2021,4,1))*12+MONTH(DATE(2021,4,1)))) + 1),0)</f>
        <v/>
      </c>
      <c r="M24" s="16">
        <f>IF(($G$24&lt;=DATE(2021,9,30))*($H$24&gt;=DATE(2021,7,1)),$C$24 * $F$24 * MAX(0, MIN((YEAR($H$24)*12+MONTH($H$24)), (YEAR(DATE(2021,9,30))*12+MONTH(DATE(2021,9,30)))) - MAX((YEAR($G$24)*12+MONTH($G$24)), (YEAR(DATE(2021,7,1))*12+MONTH(DATE(2021,7,1)))) + 1),0)</f>
        <v/>
      </c>
      <c r="N24" s="16">
        <f>IF(($G$24&lt;=DATE(2021,12,31))*($H$24&gt;=DATE(2021,10,1)),$C$24 * $F$24 * MAX(0, MIN((YEAR($H$24)*12+MONTH($H$24)), (YEAR(DATE(2021,12,31))*12+MONTH(DATE(2021,12,31)))) - MAX((YEAR($G$24)*12+MONTH($G$24)), (YEAR(DATE(2021,10,1))*12+MONTH(DATE(2021,10,1)))) + 1),0)</f>
        <v/>
      </c>
      <c r="O24" s="16">
        <f>IF(($G$24&lt;=DATE(2022,3,31))*($H$24&gt;=DATE(2022,1,1)),$C$24 * $F$24 * MAX(0, MIN((YEAR($H$24)*12+MONTH($H$24)), (YEAR(DATE(2022,3,31))*12+MONTH(DATE(2022,3,31)))) - MAX((YEAR($G$24)*12+MONTH($G$24)), (YEAR(DATE(2022,1,1))*12+MONTH(DATE(2022,1,1)))) + 1),0)</f>
        <v/>
      </c>
      <c r="P24" s="16">
        <f>IF(($G$24&lt;=DATE(2022,6,30))*($H$24&gt;=DATE(2022,4,1)),$C$24 * $F$24 * MAX(0, MIN((YEAR($H$24)*12+MONTH($H$24)), (YEAR(DATE(2022,6,30))*12+MONTH(DATE(2022,6,30)))) - MAX((YEAR($G$24)*12+MONTH($G$24)), (YEAR(DATE(2022,4,1))*12+MONTH(DATE(2022,4,1)))) + 1),0)</f>
        <v/>
      </c>
      <c r="Q24" s="16">
        <f>IF(($G$24&lt;=DATE(2022,9,30))*($H$24&gt;=DATE(2022,7,1)),$C$24 * $F$24 * MAX(0, MIN((YEAR($H$24)*12+MONTH($H$24)), (YEAR(DATE(2022,9,30))*12+MONTH(DATE(2022,9,30)))) - MAX((YEAR($G$24)*12+MONTH($G$24)), (YEAR(DATE(2022,7,1))*12+MONTH(DATE(2022,7,1)))) + 1),0)</f>
        <v/>
      </c>
      <c r="R24" s="16">
        <f>IF(($G$24&lt;=DATE(2022,12,31))*($H$24&gt;=DATE(2022,10,1)),$C$24 * $F$24 * MAX(0, MIN((YEAR($H$24)*12+MONTH($H$24)), (YEAR(DATE(2022,12,31))*12+MONTH(DATE(2022,12,31)))) - MAX((YEAR($G$24)*12+MONTH($G$24)), (YEAR(DATE(2022,10,1))*12+MONTH(DATE(2022,10,1)))) + 1),0)</f>
        <v/>
      </c>
      <c r="S24" s="16">
        <f>IF(($G$24&lt;=DATE(2023,3,31))*($H$24&gt;=DATE(2023,1,1)),$C$24 * $F$24 * MAX(0, MIN((YEAR($H$24)*12+MONTH($H$24)), (YEAR(DATE(2023,3,31))*12+MONTH(DATE(2023,3,31)))) - MAX((YEAR($G$24)*12+MONTH($G$24)), (YEAR(DATE(2023,1,1))*12+MONTH(DATE(2023,1,1)))) + 1),0)</f>
        <v/>
      </c>
      <c r="T24" s="16">
        <f>IF(($G$24&lt;=DATE(2023,6,30))*($H$24&gt;=DATE(2023,4,1)),$C$24 * $F$24 * MAX(0, MIN((YEAR($H$24)*12+MONTH($H$24)), (YEAR(DATE(2023,6,30))*12+MONTH(DATE(2023,6,30)))) - MAX((YEAR($G$24)*12+MONTH($G$24)), (YEAR(DATE(2023,4,1))*12+MONTH(DATE(2023,4,1)))) + 1),0)</f>
        <v/>
      </c>
      <c r="U24" s="16">
        <f>IF(($G$24&lt;=DATE(2023,9,30))*($H$24&gt;=DATE(2023,7,1)),$C$24 * $F$24 * MAX(0, MIN((YEAR($H$24)*12+MONTH($H$24)), (YEAR(DATE(2023,9,30))*12+MONTH(DATE(2023,9,30)))) - MAX((YEAR($G$24)*12+MONTH($G$24)), (YEAR(DATE(2023,7,1))*12+MONTH(DATE(2023,7,1)))) + 1),0)</f>
        <v/>
      </c>
      <c r="V24" s="16">
        <f>IF(($G$24&lt;=DATE(2023,12,31))*($H$24&gt;=DATE(2023,10,1)),$C$24 * $F$24 * MAX(0, MIN((YEAR($H$24)*12+MONTH($H$24)), (YEAR(DATE(2023,12,31))*12+MONTH(DATE(2023,12,31)))) - MAX((YEAR($G$24)*12+MONTH($G$24)), (YEAR(DATE(2023,10,1))*12+MONTH(DATE(2023,10,1)))) + 1),0)</f>
        <v/>
      </c>
      <c r="W24" s="16">
        <f>IF(($G$24&lt;=DATE(2024,3,31))*($H$24&gt;=DATE(2024,1,1)),$C$24 * $F$24 * MAX(0, MIN((YEAR($H$24)*12+MONTH($H$24)), (YEAR(DATE(2024,3,31))*12+MONTH(DATE(2024,3,31)))) - MAX((YEAR($G$24)*12+MONTH($G$24)), (YEAR(DATE(2024,1,1))*12+MONTH(DATE(2024,1,1)))) + 1),0)</f>
        <v/>
      </c>
      <c r="X24" s="16">
        <f>IF(($G$24&lt;=DATE(2024,6,30))*($H$24&gt;=DATE(2024,4,1)),$C$24 * $F$24 * MAX(0, MIN((YEAR($H$24)*12+MONTH($H$24)), (YEAR(DATE(2024,6,30))*12+MONTH(DATE(2024,6,30)))) - MAX((YEAR($G$24)*12+MONTH($G$24)), (YEAR(DATE(2024,4,1))*12+MONTH(DATE(2024,4,1)))) + 1),0)</f>
        <v/>
      </c>
      <c r="Y24" s="16">
        <f>IF(($G$24&lt;=DATE(2024,9,30))*($H$24&gt;=DATE(2024,7,1)),$C$24 * $F$24 * MAX(0, MIN((YEAR($H$24)*12+MONTH($H$24)), (YEAR(DATE(2024,9,30))*12+MONTH(DATE(2024,9,30)))) - MAX((YEAR($G$24)*12+MONTH($G$24)), (YEAR(DATE(2024,7,1))*12+MONTH(DATE(2024,7,1)))) + 1),0)</f>
        <v/>
      </c>
      <c r="Z24" s="16">
        <f>IF(($G$24&lt;=DATE(2024,12,31))*($H$24&gt;=DATE(2024,10,1)),$C$24 * $F$24 * MAX(0, MIN((YEAR($H$24)*12+MONTH($H$24)), (YEAR(DATE(2024,12,31))*12+MONTH(DATE(2024,12,31)))) - MAX((YEAR($G$24)*12+MONTH($G$24)), (YEAR(DATE(2024,10,1))*12+MONTH(DATE(2024,10,1)))) + 1),0)</f>
        <v/>
      </c>
      <c r="AA24" s="16">
        <f>IF(($G$24&lt;=DATE(2025,3,31))*($H$24&gt;=DATE(2025,1,1)),$C$24 * $F$24 * MAX(0, MIN((YEAR($H$24)*12+MONTH($H$24)), (YEAR(DATE(2025,3,31))*12+MONTH(DATE(2025,3,31)))) - MAX((YEAR($G$24)*12+MONTH($G$24)), (YEAR(DATE(2025,1,1))*12+MONTH(DATE(2025,1,1)))) + 1),0)</f>
        <v/>
      </c>
      <c r="AB24" s="16">
        <f>IF(($G$24&lt;=DATE(2025,6,30))*($H$24&gt;=DATE(2025,4,1)),$C$24 * $F$24 * MAX(0, MIN((YEAR($H$24)*12+MONTH($H$24)), (YEAR(DATE(2025,6,30))*12+MONTH(DATE(2025,6,30)))) - MAX((YEAR($G$24)*12+MONTH($G$24)), (YEAR(DATE(2025,4,1))*12+MONTH(DATE(2025,4,1)))) + 1),0)</f>
        <v/>
      </c>
      <c r="AC24" s="16">
        <f>IF(($G$24&lt;=DATE(2025,9,30))*($H$24&gt;=DATE(2025,7,1)),$C$24 * $F$24 * MAX(0, MIN((YEAR($H$24)*12+MONTH($H$24)), (YEAR(DATE(2025,9,30))*12+MONTH(DATE(2025,9,30)))) - MAX((YEAR($G$24)*12+MONTH($G$24)), (YEAR(DATE(2025,7,1))*12+MONTH(DATE(2025,7,1)))) + 1),0)</f>
        <v/>
      </c>
      <c r="AD24" s="16">
        <f>IF(($G$24&lt;=DATE(2025,12,31))*($H$24&gt;=DATE(2025,10,1)),$C$24 * $F$24 * MAX(0, MIN((YEAR($H$24)*12+MONTH($H$24)), (YEAR(DATE(2025,12,31))*12+MONTH(DATE(2025,12,31)))) - MAX((YEAR($G$24)*12+MONTH($G$24)), (YEAR(DATE(2025,10,1))*12+MONTH(DATE(2025,10,1)))) + 1),0)</f>
        <v/>
      </c>
      <c r="AE24" s="16">
        <f>IF(($G$24&lt;=DATE(2026,3,31))*($H$24&gt;=DATE(2026,1,1)),$C$24 * $F$24 * MAX(0, MIN((YEAR($H$24)*12+MONTH($H$24)), (YEAR(DATE(2026,3,31))*12+MONTH(DATE(2026,3,31)))) - MAX((YEAR($G$24)*12+MONTH($G$24)), (YEAR(DATE(2026,1,1))*12+MONTH(DATE(2026,1,1)))) + 1),0)</f>
        <v/>
      </c>
      <c r="AF24" s="16">
        <f>IF(($G$24&lt;=DATE(2026,6,30))*($H$24&gt;=DATE(2026,4,1)),$C$24 * $F$24 * MAX(0, MIN((YEAR($H$24)*12+MONTH($H$24)), (YEAR(DATE(2026,6,30))*12+MONTH(DATE(2026,6,30)))) - MAX((YEAR($G$24)*12+MONTH($G$24)), (YEAR(DATE(2026,4,1))*12+MONTH(DATE(2026,4,1)))) + 1),0)</f>
        <v/>
      </c>
      <c r="AG24" s="16">
        <f>IF(($G$24&lt;=DATE(2026,9,30))*($H$24&gt;=DATE(2026,7,1)),$C$24 * $F$24 * MAX(0, MIN((YEAR($H$24)*12+MONTH($H$24)), (YEAR(DATE(2026,9,30))*12+MONTH(DATE(2026,9,30)))) - MAX((YEAR($G$24)*12+MONTH($G$24)), (YEAR(DATE(2026,7,1))*12+MONTH(DATE(2026,7,1)))) + 1),0)</f>
        <v/>
      </c>
      <c r="AH24" s="16">
        <f>IF(($G$24&lt;=DATE(2026,12,31))*($H$24&gt;=DATE(2026,10,1)),$C$24 * $F$24 * MAX(0, MIN((YEAR($H$24)*12+MONTH($H$24)), (YEAR(DATE(2026,12,31))*12+MONTH(DATE(2026,12,31)))) - MAX((YEAR($G$24)*12+MONTH($G$24)), (YEAR(DATE(2026,10,1))*12+MONTH(DATE(2026,10,1)))) + 1),0)</f>
        <v/>
      </c>
      <c r="AI24" s="16">
        <f>IF(($G$24&lt;=DATE(2027,3,31))*($H$24&gt;=DATE(2027,1,1)),$C$24 * $F$24 * MAX(0, MIN((YEAR($H$24)*12+MONTH($H$24)), (YEAR(DATE(2027,3,31))*12+MONTH(DATE(2027,3,31)))) - MAX((YEAR($G$24)*12+MONTH($G$24)), (YEAR(DATE(2027,1,1))*12+MONTH(DATE(2027,1,1)))) + 1),0)</f>
        <v/>
      </c>
      <c r="AJ24" s="16">
        <f>IF(($G$24&lt;=DATE(2027,6,30))*($H$24&gt;=DATE(2027,4,1)),$C$24 * $F$24 * MAX(0, MIN((YEAR($H$24)*12+MONTH($H$24)), (YEAR(DATE(2027,6,30))*12+MONTH(DATE(2027,6,30)))) - MAX((YEAR($G$24)*12+MONTH($G$24)), (YEAR(DATE(2027,4,1))*12+MONTH(DATE(2027,4,1)))) + 1),0)</f>
        <v/>
      </c>
      <c r="AK24" s="16">
        <f>IF(($G$24&lt;=DATE(2027,9,30))*($H$24&gt;=DATE(2027,7,1)),$C$24 * $F$24 * MAX(0, MIN((YEAR($H$24)*12+MONTH($H$24)), (YEAR(DATE(2027,9,30))*12+MONTH(DATE(2027,9,30)))) - MAX((YEAR($G$24)*12+MONTH($G$24)), (YEAR(DATE(2027,7,1))*12+MONTH(DATE(2027,7,1)))) + 1),0)</f>
        <v/>
      </c>
      <c r="AL24" s="16">
        <f>IF(($G$24&lt;=DATE(2027,12,31))*($H$24&gt;=DATE(2027,10,1)),$C$24 * $F$24 * MAX(0, MIN((YEAR($H$24)*12+MONTH($H$24)), (YEAR(DATE(2027,12,31))*12+MONTH(DATE(2027,12,31)))) - MAX((YEAR($G$24)*12+MONTH($G$24)), (YEAR(DATE(2027,10,1))*12+MONTH(DATE(2027,10,1)))) + 1),0)</f>
        <v/>
      </c>
      <c r="AM24" s="16">
        <f>IF(($G$24&lt;=DATE(2028,3,31))*($H$24&gt;=DATE(2028,1,1)),$C$24 * $F$24 * MAX(0, MIN((YEAR($H$24)*12+MONTH($H$24)), (YEAR(DATE(2028,3,31))*12+MONTH(DATE(2028,3,31)))) - MAX((YEAR($G$24)*12+MONTH($G$24)), (YEAR(DATE(2028,1,1))*12+MONTH(DATE(2028,1,1)))) + 1),0)</f>
        <v/>
      </c>
      <c r="AN24" s="16">
        <f>IF(($G$24&lt;=DATE(2028,6,30))*($H$24&gt;=DATE(2028,4,1)),$C$24 * $F$24 * MAX(0, MIN((YEAR($H$24)*12+MONTH($H$24)), (YEAR(DATE(2028,6,30))*12+MONTH(DATE(2028,6,30)))) - MAX((YEAR($G$24)*12+MONTH($G$24)), (YEAR(DATE(2028,4,1))*12+MONTH(DATE(2028,4,1)))) + 1),0)</f>
        <v/>
      </c>
      <c r="AO24" s="16">
        <f>IF(($G$24&lt;=DATE(2028,9,30))*($H$24&gt;=DATE(2028,7,1)),$C$24 * $F$24 * MAX(0, MIN((YEAR($H$24)*12+MONTH($H$24)), (YEAR(DATE(2028,9,30))*12+MONTH(DATE(2028,9,30)))) - MAX((YEAR($G$24)*12+MONTH($G$24)), (YEAR(DATE(2028,7,1))*12+MONTH(DATE(2028,7,1)))) + 1),0)</f>
        <v/>
      </c>
      <c r="AP24" s="16">
        <f>IF(($G$24&lt;=DATE(2028,12,31))*($H$24&gt;=DATE(2028,10,1)),$C$24 * $F$24 * MAX(0, MIN((YEAR($H$24)*12+MONTH($H$24)), (YEAR(DATE(2028,12,31))*12+MONTH(DATE(2028,12,31)))) - MAX((YEAR($G$24)*12+MONTH($G$24)), (YEAR(DATE(2028,10,1))*12+MONTH(DATE(2028,10,1)))) + 1),0)</f>
        <v/>
      </c>
      <c r="AQ24" s="16">
        <f>IF(AND($D$24 &gt;= DATE(2021,1,1), $D$24 &lt;= DATE(2021,3,31)), $C$24 * $E$24 * $F$24, 0)</f>
        <v/>
      </c>
      <c r="AR24" s="16">
        <f>IF(AND($D$24 &gt;= DATE(2021,4,1), $D$24 &lt;= DATE(2021,6,30)), $C$24 * $E$24 * $F$24, 0)</f>
        <v/>
      </c>
      <c r="AS24" s="16">
        <f>IF(AND($D$24 &gt;= DATE(2021,7,1), $D$24 &lt;= DATE(2021,9,30)), $C$24 * $E$24 * $F$24, 0)</f>
        <v/>
      </c>
      <c r="AT24" s="16">
        <f>IF(AND($D$24 &gt;= DATE(2021,10,1), $D$24 &lt;= DATE(2021,12,31)), $C$24 * $E$24 * $F$24, 0)</f>
        <v/>
      </c>
      <c r="AU24" s="16">
        <f>IF(AND($D$24 &gt;= DATE(2022,1,1), $D$24 &lt;= DATE(2022,3,31)), $C$24 * $E$24 * $F$24, 0)</f>
        <v/>
      </c>
      <c r="AV24" s="16">
        <f>IF(AND($D$24 &gt;= DATE(2022,4,1), $D$24 &lt;= DATE(2022,6,30)), $C$24 * $E$24 * $F$24, 0)</f>
        <v/>
      </c>
      <c r="AW24" s="16">
        <f>IF(AND($D$24 &gt;= DATE(2022,7,1), $D$24 &lt;= DATE(2022,9,30)), $C$24 * $E$24 * $F$24, 0)</f>
        <v/>
      </c>
      <c r="AX24" s="16">
        <f>IF(AND($D$24 &gt;= DATE(2022,10,1), $D$24 &lt;= DATE(2022,12,31)), $C$24 * $E$24 * $F$24, 0)</f>
        <v/>
      </c>
      <c r="AY24" s="16">
        <f>IF(AND($D$24 &gt;= DATE(2023,1,1), $D$24 &lt;= DATE(2023,3,31)), $C$24 * $E$24 * $F$24, 0)</f>
        <v/>
      </c>
      <c r="AZ24" s="16">
        <f>IF(AND($D$24 &gt;= DATE(2023,4,1), $D$24 &lt;= DATE(2023,6,30)), $C$24 * $E$24 * $F$24, 0)</f>
        <v/>
      </c>
      <c r="BA24" s="16">
        <f>IF(AND($D$24 &gt;= DATE(2023,7,1), $D$24 &lt;= DATE(2023,9,30)), $C$24 * $E$24 * $F$24, 0)</f>
        <v/>
      </c>
      <c r="BB24" s="16">
        <f>IF(AND($D$24 &gt;= DATE(2023,10,1), $D$24 &lt;= DATE(2023,12,31)), $C$24 * $E$24 * $F$24, 0)</f>
        <v/>
      </c>
      <c r="BC24" s="16">
        <f>IF(AND($D$24 &gt;= DATE(2024,1,1), $D$24 &lt;= DATE(2024,3,31)), $C$24 * $E$24 * $F$24, 0)</f>
        <v/>
      </c>
      <c r="BD24" s="16">
        <f>IF(AND($D$24 &gt;= DATE(2024,4,1), $D$24 &lt;= DATE(2024,6,30)), $C$24 * $E$24 * $F$24, 0)</f>
        <v/>
      </c>
      <c r="BE24" s="16">
        <f>IF(AND($D$24 &gt;= DATE(2024,7,1), $D$24 &lt;= DATE(2024,9,30)), $C$24 * $E$24 * $F$24, 0)</f>
        <v/>
      </c>
      <c r="BF24" s="16">
        <f>IF(AND($D$24 &gt;= DATE(2024,10,1), $D$24 &lt;= DATE(2024,12,31)), $C$24 * $E$24 * $F$24, 0)</f>
        <v/>
      </c>
      <c r="BG24" s="16">
        <f>IF(AND($D$24 &gt;= DATE(2025,1,1), $D$24 &lt;= DATE(2025,3,31)), $C$24 * $E$24 * $F$24, 0)</f>
        <v/>
      </c>
      <c r="BH24" s="16">
        <f>IF(AND($D$24 &gt;= DATE(2025,4,1), $D$24 &lt;= DATE(2025,6,30)), $C$24 * $E$24 * $F$24, 0)</f>
        <v/>
      </c>
      <c r="BI24" s="16">
        <f>IF(AND($D$24 &gt;= DATE(2025,7,1), $D$24 &lt;= DATE(2025,9,30)), $C$24 * $E$24 * $F$24, 0)</f>
        <v/>
      </c>
      <c r="BJ24" s="16">
        <f>IF(AND($D$24 &gt;= DATE(2025,10,1), $D$24 &lt;= DATE(2025,12,31)), $C$24 * $E$24 * $F$24, 0)</f>
        <v/>
      </c>
      <c r="BK24" s="16">
        <f>IF(AND($D$24 &gt;= DATE(2026,1,1), $D$24 &lt;= DATE(2026,3,31)), $C$24 * $E$24 * $F$24, 0)</f>
        <v/>
      </c>
      <c r="BL24" s="16">
        <f>IF(AND($D$24 &gt;= DATE(2026,4,1), $D$24 &lt;= DATE(2026,6,30)), $C$24 * $E$24 * $F$24, 0)</f>
        <v/>
      </c>
      <c r="BM24" s="16">
        <f>IF(AND($D$24 &gt;= DATE(2026,7,1), $D$24 &lt;= DATE(2026,9,30)), $C$24 * $E$24 * $F$24, 0)</f>
        <v/>
      </c>
      <c r="BN24" s="16">
        <f>IF(AND($D$24 &gt;= DATE(2026,10,1), $D$24 &lt;= DATE(2026,12,31)), $C$24 * $E$24 * $F$24, 0)</f>
        <v/>
      </c>
      <c r="BO24" s="16">
        <f>IF(AND($D$24 &gt;= DATE(2027,1,1), $D$24 &lt;= DATE(2027,3,31)), $C$24 * $E$24 * $F$24, 0)</f>
        <v/>
      </c>
      <c r="BP24" s="16">
        <f>IF(AND($D$24 &gt;= DATE(2027,4,1), $D$24 &lt;= DATE(2027,6,30)), $C$24 * $E$24 * $F$24, 0)</f>
        <v/>
      </c>
      <c r="BQ24" s="16">
        <f>IF(AND($D$24 &gt;= DATE(2027,7,1), $D$24 &lt;= DATE(2027,9,30)), $C$24 * $E$24 * $F$24, 0)</f>
        <v/>
      </c>
      <c r="BR24" s="16">
        <f>IF(AND($D$24 &gt;= DATE(2027,10,1), $D$24 &lt;= DATE(2027,12,31)), $C$24 * $E$24 * $F$24, 0)</f>
        <v/>
      </c>
      <c r="BS24" s="16">
        <f>IF(AND($D$24 &gt;= DATE(2028,1,1), $D$24 &lt;= DATE(2028,3,31)), $C$24 * $E$24 * $F$24, 0)</f>
        <v/>
      </c>
      <c r="BT24" s="16">
        <f>IF(AND($D$24 &gt;= DATE(2028,4,1), $D$24 &lt;= DATE(2028,6,30)), $C$24 * $E$24 * $F$24, 0)</f>
        <v/>
      </c>
      <c r="BU24" s="16">
        <f>IF(AND($D$24 &gt;= DATE(2028,7,1), $D$24 &lt;= DATE(2028,9,30)), $C$24 * $E$24 * $F$24, 0)</f>
        <v/>
      </c>
      <c r="BV24" s="16">
        <f>IF(AND($D$24 &gt;= DATE(2028,10,1), $D$24 &lt;= DATE(2028,12,31)), $C$24 * $E$24 * $F$24, 0)</f>
        <v/>
      </c>
    </row>
    <row r="25">
      <c r="B25" t="inlineStr">
        <is>
          <t>Foundry &gt; Ridgeline Defense &gt; Production Run B</t>
        </is>
      </c>
      <c r="C25" s="16" t="n">
        <v>102500</v>
      </c>
      <c r="D25" s="18" t="n">
        <v>46296</v>
      </c>
      <c r="E25" s="16" t="n">
        <v>3</v>
      </c>
      <c r="F25" s="19" t="n">
        <v>0.65</v>
      </c>
      <c r="G25" s="18" t="n">
        <v>46327</v>
      </c>
      <c r="H25" s="18" t="n">
        <v>46388</v>
      </c>
      <c r="I25" s="16">
        <f>$C$25 * $E$25</f>
        <v/>
      </c>
      <c r="J25" s="20">
        <f>$C$25 * $E$25 * $F$25</f>
        <v/>
      </c>
      <c r="K25" s="16">
        <f>IF(($G$25&lt;=DATE(2021,3,31))*($H$25&gt;=DATE(2021,1,1)),$C$25 * $F$25 * MAX(0, MIN((YEAR($H$25)*12+MONTH($H$25)), (YEAR(DATE(2021,3,31))*12+MONTH(DATE(2021,3,31)))) - MAX((YEAR($G$25)*12+MONTH($G$25)), (YEAR(DATE(2021,1,1))*12+MONTH(DATE(2021,1,1)))) + 1),0)</f>
        <v/>
      </c>
      <c r="L25" s="16">
        <f>IF(($G$25&lt;=DATE(2021,6,30))*($H$25&gt;=DATE(2021,4,1)),$C$25 * $F$25 * MAX(0, MIN((YEAR($H$25)*12+MONTH($H$25)), (YEAR(DATE(2021,6,30))*12+MONTH(DATE(2021,6,30)))) - MAX((YEAR($G$25)*12+MONTH($G$25)), (YEAR(DATE(2021,4,1))*12+MONTH(DATE(2021,4,1)))) + 1),0)</f>
        <v/>
      </c>
      <c r="M25" s="16">
        <f>IF(($G$25&lt;=DATE(2021,9,30))*($H$25&gt;=DATE(2021,7,1)),$C$25 * $F$25 * MAX(0, MIN((YEAR($H$25)*12+MONTH($H$25)), (YEAR(DATE(2021,9,30))*12+MONTH(DATE(2021,9,30)))) - MAX((YEAR($G$25)*12+MONTH($G$25)), (YEAR(DATE(2021,7,1))*12+MONTH(DATE(2021,7,1)))) + 1),0)</f>
        <v/>
      </c>
      <c r="N25" s="16">
        <f>IF(($G$25&lt;=DATE(2021,12,31))*($H$25&gt;=DATE(2021,10,1)),$C$25 * $F$25 * MAX(0, MIN((YEAR($H$25)*12+MONTH($H$25)), (YEAR(DATE(2021,12,31))*12+MONTH(DATE(2021,12,31)))) - MAX((YEAR($G$25)*12+MONTH($G$25)), (YEAR(DATE(2021,10,1))*12+MONTH(DATE(2021,10,1)))) + 1),0)</f>
        <v/>
      </c>
      <c r="O25" s="16">
        <f>IF(($G$25&lt;=DATE(2022,3,31))*($H$25&gt;=DATE(2022,1,1)),$C$25 * $F$25 * MAX(0, MIN((YEAR($H$25)*12+MONTH($H$25)), (YEAR(DATE(2022,3,31))*12+MONTH(DATE(2022,3,31)))) - MAX((YEAR($G$25)*12+MONTH($G$25)), (YEAR(DATE(2022,1,1))*12+MONTH(DATE(2022,1,1)))) + 1),0)</f>
        <v/>
      </c>
      <c r="P25" s="16">
        <f>IF(($G$25&lt;=DATE(2022,6,30))*($H$25&gt;=DATE(2022,4,1)),$C$25 * $F$25 * MAX(0, MIN((YEAR($H$25)*12+MONTH($H$25)), (YEAR(DATE(2022,6,30))*12+MONTH(DATE(2022,6,30)))) - MAX((YEAR($G$25)*12+MONTH($G$25)), (YEAR(DATE(2022,4,1))*12+MONTH(DATE(2022,4,1)))) + 1),0)</f>
        <v/>
      </c>
      <c r="Q25" s="16">
        <f>IF(($G$25&lt;=DATE(2022,9,30))*($H$25&gt;=DATE(2022,7,1)),$C$25 * $F$25 * MAX(0, MIN((YEAR($H$25)*12+MONTH($H$25)), (YEAR(DATE(2022,9,30))*12+MONTH(DATE(2022,9,30)))) - MAX((YEAR($G$25)*12+MONTH($G$25)), (YEAR(DATE(2022,7,1))*12+MONTH(DATE(2022,7,1)))) + 1),0)</f>
        <v/>
      </c>
      <c r="R25" s="16">
        <f>IF(($G$25&lt;=DATE(2022,12,31))*($H$25&gt;=DATE(2022,10,1)),$C$25 * $F$25 * MAX(0, MIN((YEAR($H$25)*12+MONTH($H$25)), (YEAR(DATE(2022,12,31))*12+MONTH(DATE(2022,12,31)))) - MAX((YEAR($G$25)*12+MONTH($G$25)), (YEAR(DATE(2022,10,1))*12+MONTH(DATE(2022,10,1)))) + 1),0)</f>
        <v/>
      </c>
      <c r="S25" s="16">
        <f>IF(($G$25&lt;=DATE(2023,3,31))*($H$25&gt;=DATE(2023,1,1)),$C$25 * $F$25 * MAX(0, MIN((YEAR($H$25)*12+MONTH($H$25)), (YEAR(DATE(2023,3,31))*12+MONTH(DATE(2023,3,31)))) - MAX((YEAR($G$25)*12+MONTH($G$25)), (YEAR(DATE(2023,1,1))*12+MONTH(DATE(2023,1,1)))) + 1),0)</f>
        <v/>
      </c>
      <c r="T25" s="16">
        <f>IF(($G$25&lt;=DATE(2023,6,30))*($H$25&gt;=DATE(2023,4,1)),$C$25 * $F$25 * MAX(0, MIN((YEAR($H$25)*12+MONTH($H$25)), (YEAR(DATE(2023,6,30))*12+MONTH(DATE(2023,6,30)))) - MAX((YEAR($G$25)*12+MONTH($G$25)), (YEAR(DATE(2023,4,1))*12+MONTH(DATE(2023,4,1)))) + 1),0)</f>
        <v/>
      </c>
      <c r="U25" s="16">
        <f>IF(($G$25&lt;=DATE(2023,9,30))*($H$25&gt;=DATE(2023,7,1)),$C$25 * $F$25 * MAX(0, MIN((YEAR($H$25)*12+MONTH($H$25)), (YEAR(DATE(2023,9,30))*12+MONTH(DATE(2023,9,30)))) - MAX((YEAR($G$25)*12+MONTH($G$25)), (YEAR(DATE(2023,7,1))*12+MONTH(DATE(2023,7,1)))) + 1),0)</f>
        <v/>
      </c>
      <c r="V25" s="16">
        <f>IF(($G$25&lt;=DATE(2023,12,31))*($H$25&gt;=DATE(2023,10,1)),$C$25 * $F$25 * MAX(0, MIN((YEAR($H$25)*12+MONTH($H$25)), (YEAR(DATE(2023,12,31))*12+MONTH(DATE(2023,12,31)))) - MAX((YEAR($G$25)*12+MONTH($G$25)), (YEAR(DATE(2023,10,1))*12+MONTH(DATE(2023,10,1)))) + 1),0)</f>
        <v/>
      </c>
      <c r="W25" s="16">
        <f>IF(($G$25&lt;=DATE(2024,3,31))*($H$25&gt;=DATE(2024,1,1)),$C$25 * $F$25 * MAX(0, MIN((YEAR($H$25)*12+MONTH($H$25)), (YEAR(DATE(2024,3,31))*12+MONTH(DATE(2024,3,31)))) - MAX((YEAR($G$25)*12+MONTH($G$25)), (YEAR(DATE(2024,1,1))*12+MONTH(DATE(2024,1,1)))) + 1),0)</f>
        <v/>
      </c>
      <c r="X25" s="16">
        <f>IF(($G$25&lt;=DATE(2024,6,30))*($H$25&gt;=DATE(2024,4,1)),$C$25 * $F$25 * MAX(0, MIN((YEAR($H$25)*12+MONTH($H$25)), (YEAR(DATE(2024,6,30))*12+MONTH(DATE(2024,6,30)))) - MAX((YEAR($G$25)*12+MONTH($G$25)), (YEAR(DATE(2024,4,1))*12+MONTH(DATE(2024,4,1)))) + 1),0)</f>
        <v/>
      </c>
      <c r="Y25" s="16">
        <f>IF(($G$25&lt;=DATE(2024,9,30))*($H$25&gt;=DATE(2024,7,1)),$C$25 * $F$25 * MAX(0, MIN((YEAR($H$25)*12+MONTH($H$25)), (YEAR(DATE(2024,9,30))*12+MONTH(DATE(2024,9,30)))) - MAX((YEAR($G$25)*12+MONTH($G$25)), (YEAR(DATE(2024,7,1))*12+MONTH(DATE(2024,7,1)))) + 1),0)</f>
        <v/>
      </c>
      <c r="Z25" s="16">
        <f>IF(($G$25&lt;=DATE(2024,12,31))*($H$25&gt;=DATE(2024,10,1)),$C$25 * $F$25 * MAX(0, MIN((YEAR($H$25)*12+MONTH($H$25)), (YEAR(DATE(2024,12,31))*12+MONTH(DATE(2024,12,31)))) - MAX((YEAR($G$25)*12+MONTH($G$25)), (YEAR(DATE(2024,10,1))*12+MONTH(DATE(2024,10,1)))) + 1),0)</f>
        <v/>
      </c>
      <c r="AA25" s="16">
        <f>IF(($G$25&lt;=DATE(2025,3,31))*($H$25&gt;=DATE(2025,1,1)),$C$25 * $F$25 * MAX(0, MIN((YEAR($H$25)*12+MONTH($H$25)), (YEAR(DATE(2025,3,31))*12+MONTH(DATE(2025,3,31)))) - MAX((YEAR($G$25)*12+MONTH($G$25)), (YEAR(DATE(2025,1,1))*12+MONTH(DATE(2025,1,1)))) + 1),0)</f>
        <v/>
      </c>
      <c r="AB25" s="16">
        <f>IF(($G$25&lt;=DATE(2025,6,30))*($H$25&gt;=DATE(2025,4,1)),$C$25 * $F$25 * MAX(0, MIN((YEAR($H$25)*12+MONTH($H$25)), (YEAR(DATE(2025,6,30))*12+MONTH(DATE(2025,6,30)))) - MAX((YEAR($G$25)*12+MONTH($G$25)), (YEAR(DATE(2025,4,1))*12+MONTH(DATE(2025,4,1)))) + 1),0)</f>
        <v/>
      </c>
      <c r="AC25" s="16">
        <f>IF(($G$25&lt;=DATE(2025,9,30))*($H$25&gt;=DATE(2025,7,1)),$C$25 * $F$25 * MAX(0, MIN((YEAR($H$25)*12+MONTH($H$25)), (YEAR(DATE(2025,9,30))*12+MONTH(DATE(2025,9,30)))) - MAX((YEAR($G$25)*12+MONTH($G$25)), (YEAR(DATE(2025,7,1))*12+MONTH(DATE(2025,7,1)))) + 1),0)</f>
        <v/>
      </c>
      <c r="AD25" s="16">
        <f>IF(($G$25&lt;=DATE(2025,12,31))*($H$25&gt;=DATE(2025,10,1)),$C$25 * $F$25 * MAX(0, MIN((YEAR($H$25)*12+MONTH($H$25)), (YEAR(DATE(2025,12,31))*12+MONTH(DATE(2025,12,31)))) - MAX((YEAR($G$25)*12+MONTH($G$25)), (YEAR(DATE(2025,10,1))*12+MONTH(DATE(2025,10,1)))) + 1),0)</f>
        <v/>
      </c>
      <c r="AE25" s="16">
        <f>IF(($G$25&lt;=DATE(2026,3,31))*($H$25&gt;=DATE(2026,1,1)),$C$25 * $F$25 * MAX(0, MIN((YEAR($H$25)*12+MONTH($H$25)), (YEAR(DATE(2026,3,31))*12+MONTH(DATE(2026,3,31)))) - MAX((YEAR($G$25)*12+MONTH($G$25)), (YEAR(DATE(2026,1,1))*12+MONTH(DATE(2026,1,1)))) + 1),0)</f>
        <v/>
      </c>
      <c r="AF25" s="16">
        <f>IF(($G$25&lt;=DATE(2026,6,30))*($H$25&gt;=DATE(2026,4,1)),$C$25 * $F$25 * MAX(0, MIN((YEAR($H$25)*12+MONTH($H$25)), (YEAR(DATE(2026,6,30))*12+MONTH(DATE(2026,6,30)))) - MAX((YEAR($G$25)*12+MONTH($G$25)), (YEAR(DATE(2026,4,1))*12+MONTH(DATE(2026,4,1)))) + 1),0)</f>
        <v/>
      </c>
      <c r="AG25" s="16">
        <f>IF(($G$25&lt;=DATE(2026,9,30))*($H$25&gt;=DATE(2026,7,1)),$C$25 * $F$25 * MAX(0, MIN((YEAR($H$25)*12+MONTH($H$25)), (YEAR(DATE(2026,9,30))*12+MONTH(DATE(2026,9,30)))) - MAX((YEAR($G$25)*12+MONTH($G$25)), (YEAR(DATE(2026,7,1))*12+MONTH(DATE(2026,7,1)))) + 1),0)</f>
        <v/>
      </c>
      <c r="AH25" s="16">
        <f>IF(($G$25&lt;=DATE(2026,12,31))*($H$25&gt;=DATE(2026,10,1)),$C$25 * $F$25 * MAX(0, MIN((YEAR($H$25)*12+MONTH($H$25)), (YEAR(DATE(2026,12,31))*12+MONTH(DATE(2026,12,31)))) - MAX((YEAR($G$25)*12+MONTH($G$25)), (YEAR(DATE(2026,10,1))*12+MONTH(DATE(2026,10,1)))) + 1),0)</f>
        <v/>
      </c>
      <c r="AI25" s="16">
        <f>IF(($G$25&lt;=DATE(2027,3,31))*($H$25&gt;=DATE(2027,1,1)),$C$25 * $F$25 * MAX(0, MIN((YEAR($H$25)*12+MONTH($H$25)), (YEAR(DATE(2027,3,31))*12+MONTH(DATE(2027,3,31)))) - MAX((YEAR($G$25)*12+MONTH($G$25)), (YEAR(DATE(2027,1,1))*12+MONTH(DATE(2027,1,1)))) + 1),0)</f>
        <v/>
      </c>
      <c r="AJ25" s="16">
        <f>IF(($G$25&lt;=DATE(2027,6,30))*($H$25&gt;=DATE(2027,4,1)),$C$25 * $F$25 * MAX(0, MIN((YEAR($H$25)*12+MONTH($H$25)), (YEAR(DATE(2027,6,30))*12+MONTH(DATE(2027,6,30)))) - MAX((YEAR($G$25)*12+MONTH($G$25)), (YEAR(DATE(2027,4,1))*12+MONTH(DATE(2027,4,1)))) + 1),0)</f>
        <v/>
      </c>
      <c r="AK25" s="16">
        <f>IF(($G$25&lt;=DATE(2027,9,30))*($H$25&gt;=DATE(2027,7,1)),$C$25 * $F$25 * MAX(0, MIN((YEAR($H$25)*12+MONTH($H$25)), (YEAR(DATE(2027,9,30))*12+MONTH(DATE(2027,9,30)))) - MAX((YEAR($G$25)*12+MONTH($G$25)), (YEAR(DATE(2027,7,1))*12+MONTH(DATE(2027,7,1)))) + 1),0)</f>
        <v/>
      </c>
      <c r="AL25" s="16">
        <f>IF(($G$25&lt;=DATE(2027,12,31))*($H$25&gt;=DATE(2027,10,1)),$C$25 * $F$25 * MAX(0, MIN((YEAR($H$25)*12+MONTH($H$25)), (YEAR(DATE(2027,12,31))*12+MONTH(DATE(2027,12,31)))) - MAX((YEAR($G$25)*12+MONTH($G$25)), (YEAR(DATE(2027,10,1))*12+MONTH(DATE(2027,10,1)))) + 1),0)</f>
        <v/>
      </c>
      <c r="AM25" s="16">
        <f>IF(($G$25&lt;=DATE(2028,3,31))*($H$25&gt;=DATE(2028,1,1)),$C$25 * $F$25 * MAX(0, MIN((YEAR($H$25)*12+MONTH($H$25)), (YEAR(DATE(2028,3,31))*12+MONTH(DATE(2028,3,31)))) - MAX((YEAR($G$25)*12+MONTH($G$25)), (YEAR(DATE(2028,1,1))*12+MONTH(DATE(2028,1,1)))) + 1),0)</f>
        <v/>
      </c>
      <c r="AN25" s="16">
        <f>IF(($G$25&lt;=DATE(2028,6,30))*($H$25&gt;=DATE(2028,4,1)),$C$25 * $F$25 * MAX(0, MIN((YEAR($H$25)*12+MONTH($H$25)), (YEAR(DATE(2028,6,30))*12+MONTH(DATE(2028,6,30)))) - MAX((YEAR($G$25)*12+MONTH($G$25)), (YEAR(DATE(2028,4,1))*12+MONTH(DATE(2028,4,1)))) + 1),0)</f>
        <v/>
      </c>
      <c r="AO25" s="16">
        <f>IF(($G$25&lt;=DATE(2028,9,30))*($H$25&gt;=DATE(2028,7,1)),$C$25 * $F$25 * MAX(0, MIN((YEAR($H$25)*12+MONTH($H$25)), (YEAR(DATE(2028,9,30))*12+MONTH(DATE(2028,9,30)))) - MAX((YEAR($G$25)*12+MONTH($G$25)), (YEAR(DATE(2028,7,1))*12+MONTH(DATE(2028,7,1)))) + 1),0)</f>
        <v/>
      </c>
      <c r="AP25" s="16">
        <f>IF(($G$25&lt;=DATE(2028,12,31))*($H$25&gt;=DATE(2028,10,1)),$C$25 * $F$25 * MAX(0, MIN((YEAR($H$25)*12+MONTH($H$25)), (YEAR(DATE(2028,12,31))*12+MONTH(DATE(2028,12,31)))) - MAX((YEAR($G$25)*12+MONTH($G$25)), (YEAR(DATE(2028,10,1))*12+MONTH(DATE(2028,10,1)))) + 1),0)</f>
        <v/>
      </c>
      <c r="AQ25" s="16">
        <f>IF(AND($D$25 &gt;= DATE(2021,1,1), $D$25 &lt;= DATE(2021,3,31)), $C$25 * $E$25 * $F$25, 0)</f>
        <v/>
      </c>
      <c r="AR25" s="16">
        <f>IF(AND($D$25 &gt;= DATE(2021,4,1), $D$25 &lt;= DATE(2021,6,30)), $C$25 * $E$25 * $F$25, 0)</f>
        <v/>
      </c>
      <c r="AS25" s="16">
        <f>IF(AND($D$25 &gt;= DATE(2021,7,1), $D$25 &lt;= DATE(2021,9,30)), $C$25 * $E$25 * $F$25, 0)</f>
        <v/>
      </c>
      <c r="AT25" s="16">
        <f>IF(AND($D$25 &gt;= DATE(2021,10,1), $D$25 &lt;= DATE(2021,12,31)), $C$25 * $E$25 * $F$25, 0)</f>
        <v/>
      </c>
      <c r="AU25" s="16">
        <f>IF(AND($D$25 &gt;= DATE(2022,1,1), $D$25 &lt;= DATE(2022,3,31)), $C$25 * $E$25 * $F$25, 0)</f>
        <v/>
      </c>
      <c r="AV25" s="16">
        <f>IF(AND($D$25 &gt;= DATE(2022,4,1), $D$25 &lt;= DATE(2022,6,30)), $C$25 * $E$25 * $F$25, 0)</f>
        <v/>
      </c>
      <c r="AW25" s="16">
        <f>IF(AND($D$25 &gt;= DATE(2022,7,1), $D$25 &lt;= DATE(2022,9,30)), $C$25 * $E$25 * $F$25, 0)</f>
        <v/>
      </c>
      <c r="AX25" s="16">
        <f>IF(AND($D$25 &gt;= DATE(2022,10,1), $D$25 &lt;= DATE(2022,12,31)), $C$25 * $E$25 * $F$25, 0)</f>
        <v/>
      </c>
      <c r="AY25" s="16">
        <f>IF(AND($D$25 &gt;= DATE(2023,1,1), $D$25 &lt;= DATE(2023,3,31)), $C$25 * $E$25 * $F$25, 0)</f>
        <v/>
      </c>
      <c r="AZ25" s="16">
        <f>IF(AND($D$25 &gt;= DATE(2023,4,1), $D$25 &lt;= DATE(2023,6,30)), $C$25 * $E$25 * $F$25, 0)</f>
        <v/>
      </c>
      <c r="BA25" s="16">
        <f>IF(AND($D$25 &gt;= DATE(2023,7,1), $D$25 &lt;= DATE(2023,9,30)), $C$25 * $E$25 * $F$25, 0)</f>
        <v/>
      </c>
      <c r="BB25" s="16">
        <f>IF(AND($D$25 &gt;= DATE(2023,10,1), $D$25 &lt;= DATE(2023,12,31)), $C$25 * $E$25 * $F$25, 0)</f>
        <v/>
      </c>
      <c r="BC25" s="16">
        <f>IF(AND($D$25 &gt;= DATE(2024,1,1), $D$25 &lt;= DATE(2024,3,31)), $C$25 * $E$25 * $F$25, 0)</f>
        <v/>
      </c>
      <c r="BD25" s="16">
        <f>IF(AND($D$25 &gt;= DATE(2024,4,1), $D$25 &lt;= DATE(2024,6,30)), $C$25 * $E$25 * $F$25, 0)</f>
        <v/>
      </c>
      <c r="BE25" s="16">
        <f>IF(AND($D$25 &gt;= DATE(2024,7,1), $D$25 &lt;= DATE(2024,9,30)), $C$25 * $E$25 * $F$25, 0)</f>
        <v/>
      </c>
      <c r="BF25" s="16">
        <f>IF(AND($D$25 &gt;= DATE(2024,10,1), $D$25 &lt;= DATE(2024,12,31)), $C$25 * $E$25 * $F$25, 0)</f>
        <v/>
      </c>
      <c r="BG25" s="16">
        <f>IF(AND($D$25 &gt;= DATE(2025,1,1), $D$25 &lt;= DATE(2025,3,31)), $C$25 * $E$25 * $F$25, 0)</f>
        <v/>
      </c>
      <c r="BH25" s="16">
        <f>IF(AND($D$25 &gt;= DATE(2025,4,1), $D$25 &lt;= DATE(2025,6,30)), $C$25 * $E$25 * $F$25, 0)</f>
        <v/>
      </c>
      <c r="BI25" s="16">
        <f>IF(AND($D$25 &gt;= DATE(2025,7,1), $D$25 &lt;= DATE(2025,9,30)), $C$25 * $E$25 * $F$25, 0)</f>
        <v/>
      </c>
      <c r="BJ25" s="16">
        <f>IF(AND($D$25 &gt;= DATE(2025,10,1), $D$25 &lt;= DATE(2025,12,31)), $C$25 * $E$25 * $F$25, 0)</f>
        <v/>
      </c>
      <c r="BK25" s="16">
        <f>IF(AND($D$25 &gt;= DATE(2026,1,1), $D$25 &lt;= DATE(2026,3,31)), $C$25 * $E$25 * $F$25, 0)</f>
        <v/>
      </c>
      <c r="BL25" s="16">
        <f>IF(AND($D$25 &gt;= DATE(2026,4,1), $D$25 &lt;= DATE(2026,6,30)), $C$25 * $E$25 * $F$25, 0)</f>
        <v/>
      </c>
      <c r="BM25" s="16">
        <f>IF(AND($D$25 &gt;= DATE(2026,7,1), $D$25 &lt;= DATE(2026,9,30)), $C$25 * $E$25 * $F$25, 0)</f>
        <v/>
      </c>
      <c r="BN25" s="16">
        <f>IF(AND($D$25 &gt;= DATE(2026,10,1), $D$25 &lt;= DATE(2026,12,31)), $C$25 * $E$25 * $F$25, 0)</f>
        <v/>
      </c>
      <c r="BO25" s="16">
        <f>IF(AND($D$25 &gt;= DATE(2027,1,1), $D$25 &lt;= DATE(2027,3,31)), $C$25 * $E$25 * $F$25, 0)</f>
        <v/>
      </c>
      <c r="BP25" s="16">
        <f>IF(AND($D$25 &gt;= DATE(2027,4,1), $D$25 &lt;= DATE(2027,6,30)), $C$25 * $E$25 * $F$25, 0)</f>
        <v/>
      </c>
      <c r="BQ25" s="16">
        <f>IF(AND($D$25 &gt;= DATE(2027,7,1), $D$25 &lt;= DATE(2027,9,30)), $C$25 * $E$25 * $F$25, 0)</f>
        <v/>
      </c>
      <c r="BR25" s="16">
        <f>IF(AND($D$25 &gt;= DATE(2027,10,1), $D$25 &lt;= DATE(2027,12,31)), $C$25 * $E$25 * $F$25, 0)</f>
        <v/>
      </c>
      <c r="BS25" s="16">
        <f>IF(AND($D$25 &gt;= DATE(2028,1,1), $D$25 &lt;= DATE(2028,3,31)), $C$25 * $E$25 * $F$25, 0)</f>
        <v/>
      </c>
      <c r="BT25" s="16">
        <f>IF(AND($D$25 &gt;= DATE(2028,4,1), $D$25 &lt;= DATE(2028,6,30)), $C$25 * $E$25 * $F$25, 0)</f>
        <v/>
      </c>
      <c r="BU25" s="16">
        <f>IF(AND($D$25 &gt;= DATE(2028,7,1), $D$25 &lt;= DATE(2028,9,30)), $C$25 * $E$25 * $F$25, 0)</f>
        <v/>
      </c>
      <c r="BV25" s="16">
        <f>IF(AND($D$25 &gt;= DATE(2028,10,1), $D$25 &lt;= DATE(2028,12,31)), $C$25 * $E$25 * $F$25, 0)</f>
        <v/>
      </c>
    </row>
    <row r="26">
      <c r="B26" t="inlineStr">
        <is>
          <t>Westgate &gt; Ashgrove Labs &gt; Market Definition Study</t>
        </is>
      </c>
      <c r="C26" s="16" t="n">
        <v>57500</v>
      </c>
      <c r="D26" s="18" t="n">
        <v>46296</v>
      </c>
      <c r="E26" s="16" t="n">
        <v>2</v>
      </c>
      <c r="F26" s="19" t="n">
        <v>0.8</v>
      </c>
      <c r="G26" s="18" t="n">
        <v>46327</v>
      </c>
      <c r="H26" s="18" t="n">
        <v>46357</v>
      </c>
      <c r="I26" s="16">
        <f>$C$26 * $E$26</f>
        <v/>
      </c>
      <c r="J26" s="20">
        <f>$C$26 * $E$26 * $F$26</f>
        <v/>
      </c>
      <c r="K26" s="16">
        <f>IF(($G$26&lt;=DATE(2021,3,31))*($H$26&gt;=DATE(2021,1,1)),$C$26 * $F$26 * MAX(0, MIN((YEAR($H$26)*12+MONTH($H$26)), (YEAR(DATE(2021,3,31))*12+MONTH(DATE(2021,3,31)))) - MAX((YEAR($G$26)*12+MONTH($G$26)), (YEAR(DATE(2021,1,1))*12+MONTH(DATE(2021,1,1)))) + 1),0)</f>
        <v/>
      </c>
      <c r="L26" s="16">
        <f>IF(($G$26&lt;=DATE(2021,6,30))*($H$26&gt;=DATE(2021,4,1)),$C$26 * $F$26 * MAX(0, MIN((YEAR($H$26)*12+MONTH($H$26)), (YEAR(DATE(2021,6,30))*12+MONTH(DATE(2021,6,30)))) - MAX((YEAR($G$26)*12+MONTH($G$26)), (YEAR(DATE(2021,4,1))*12+MONTH(DATE(2021,4,1)))) + 1),0)</f>
        <v/>
      </c>
      <c r="M26" s="16">
        <f>IF(($G$26&lt;=DATE(2021,9,30))*($H$26&gt;=DATE(2021,7,1)),$C$26 * $F$26 * MAX(0, MIN((YEAR($H$26)*12+MONTH($H$26)), (YEAR(DATE(2021,9,30))*12+MONTH(DATE(2021,9,30)))) - MAX((YEAR($G$26)*12+MONTH($G$26)), (YEAR(DATE(2021,7,1))*12+MONTH(DATE(2021,7,1)))) + 1),0)</f>
        <v/>
      </c>
      <c r="N26" s="16">
        <f>IF(($G$26&lt;=DATE(2021,12,31))*($H$26&gt;=DATE(2021,10,1)),$C$26 * $F$26 * MAX(0, MIN((YEAR($H$26)*12+MONTH($H$26)), (YEAR(DATE(2021,12,31))*12+MONTH(DATE(2021,12,31)))) - MAX((YEAR($G$26)*12+MONTH($G$26)), (YEAR(DATE(2021,10,1))*12+MONTH(DATE(2021,10,1)))) + 1),0)</f>
        <v/>
      </c>
      <c r="O26" s="16">
        <f>IF(($G$26&lt;=DATE(2022,3,31))*($H$26&gt;=DATE(2022,1,1)),$C$26 * $F$26 * MAX(0, MIN((YEAR($H$26)*12+MONTH($H$26)), (YEAR(DATE(2022,3,31))*12+MONTH(DATE(2022,3,31)))) - MAX((YEAR($G$26)*12+MONTH($G$26)), (YEAR(DATE(2022,1,1))*12+MONTH(DATE(2022,1,1)))) + 1),0)</f>
        <v/>
      </c>
      <c r="P26" s="16">
        <f>IF(($G$26&lt;=DATE(2022,6,30))*($H$26&gt;=DATE(2022,4,1)),$C$26 * $F$26 * MAX(0, MIN((YEAR($H$26)*12+MONTH($H$26)), (YEAR(DATE(2022,6,30))*12+MONTH(DATE(2022,6,30)))) - MAX((YEAR($G$26)*12+MONTH($G$26)), (YEAR(DATE(2022,4,1))*12+MONTH(DATE(2022,4,1)))) + 1),0)</f>
        <v/>
      </c>
      <c r="Q26" s="16">
        <f>IF(($G$26&lt;=DATE(2022,9,30))*($H$26&gt;=DATE(2022,7,1)),$C$26 * $F$26 * MAX(0, MIN((YEAR($H$26)*12+MONTH($H$26)), (YEAR(DATE(2022,9,30))*12+MONTH(DATE(2022,9,30)))) - MAX((YEAR($G$26)*12+MONTH($G$26)), (YEAR(DATE(2022,7,1))*12+MONTH(DATE(2022,7,1)))) + 1),0)</f>
        <v/>
      </c>
      <c r="R26" s="16">
        <f>IF(($G$26&lt;=DATE(2022,12,31))*($H$26&gt;=DATE(2022,10,1)),$C$26 * $F$26 * MAX(0, MIN((YEAR($H$26)*12+MONTH($H$26)), (YEAR(DATE(2022,12,31))*12+MONTH(DATE(2022,12,31)))) - MAX((YEAR($G$26)*12+MONTH($G$26)), (YEAR(DATE(2022,10,1))*12+MONTH(DATE(2022,10,1)))) + 1),0)</f>
        <v/>
      </c>
      <c r="S26" s="16">
        <f>IF(($G$26&lt;=DATE(2023,3,31))*($H$26&gt;=DATE(2023,1,1)),$C$26 * $F$26 * MAX(0, MIN((YEAR($H$26)*12+MONTH($H$26)), (YEAR(DATE(2023,3,31))*12+MONTH(DATE(2023,3,31)))) - MAX((YEAR($G$26)*12+MONTH($G$26)), (YEAR(DATE(2023,1,1))*12+MONTH(DATE(2023,1,1)))) + 1),0)</f>
        <v/>
      </c>
      <c r="T26" s="16">
        <f>IF(($G$26&lt;=DATE(2023,6,30))*($H$26&gt;=DATE(2023,4,1)),$C$26 * $F$26 * MAX(0, MIN((YEAR($H$26)*12+MONTH($H$26)), (YEAR(DATE(2023,6,30))*12+MONTH(DATE(2023,6,30)))) - MAX((YEAR($G$26)*12+MONTH($G$26)), (YEAR(DATE(2023,4,1))*12+MONTH(DATE(2023,4,1)))) + 1),0)</f>
        <v/>
      </c>
      <c r="U26" s="16">
        <f>IF(($G$26&lt;=DATE(2023,9,30))*($H$26&gt;=DATE(2023,7,1)),$C$26 * $F$26 * MAX(0, MIN((YEAR($H$26)*12+MONTH($H$26)), (YEAR(DATE(2023,9,30))*12+MONTH(DATE(2023,9,30)))) - MAX((YEAR($G$26)*12+MONTH($G$26)), (YEAR(DATE(2023,7,1))*12+MONTH(DATE(2023,7,1)))) + 1),0)</f>
        <v/>
      </c>
      <c r="V26" s="16">
        <f>IF(($G$26&lt;=DATE(2023,12,31))*($H$26&gt;=DATE(2023,10,1)),$C$26 * $F$26 * MAX(0, MIN((YEAR($H$26)*12+MONTH($H$26)), (YEAR(DATE(2023,12,31))*12+MONTH(DATE(2023,12,31)))) - MAX((YEAR($G$26)*12+MONTH($G$26)), (YEAR(DATE(2023,10,1))*12+MONTH(DATE(2023,10,1)))) + 1),0)</f>
        <v/>
      </c>
      <c r="W26" s="16">
        <f>IF(($G$26&lt;=DATE(2024,3,31))*($H$26&gt;=DATE(2024,1,1)),$C$26 * $F$26 * MAX(0, MIN((YEAR($H$26)*12+MONTH($H$26)), (YEAR(DATE(2024,3,31))*12+MONTH(DATE(2024,3,31)))) - MAX((YEAR($G$26)*12+MONTH($G$26)), (YEAR(DATE(2024,1,1))*12+MONTH(DATE(2024,1,1)))) + 1),0)</f>
        <v/>
      </c>
      <c r="X26" s="16">
        <f>IF(($G$26&lt;=DATE(2024,6,30))*($H$26&gt;=DATE(2024,4,1)),$C$26 * $F$26 * MAX(0, MIN((YEAR($H$26)*12+MONTH($H$26)), (YEAR(DATE(2024,6,30))*12+MONTH(DATE(2024,6,30)))) - MAX((YEAR($G$26)*12+MONTH($G$26)), (YEAR(DATE(2024,4,1))*12+MONTH(DATE(2024,4,1)))) + 1),0)</f>
        <v/>
      </c>
      <c r="Y26" s="16">
        <f>IF(($G$26&lt;=DATE(2024,9,30))*($H$26&gt;=DATE(2024,7,1)),$C$26 * $F$26 * MAX(0, MIN((YEAR($H$26)*12+MONTH($H$26)), (YEAR(DATE(2024,9,30))*12+MONTH(DATE(2024,9,30)))) - MAX((YEAR($G$26)*12+MONTH($G$26)), (YEAR(DATE(2024,7,1))*12+MONTH(DATE(2024,7,1)))) + 1),0)</f>
        <v/>
      </c>
      <c r="Z26" s="16">
        <f>IF(($G$26&lt;=DATE(2024,12,31))*($H$26&gt;=DATE(2024,10,1)),$C$26 * $F$26 * MAX(0, MIN((YEAR($H$26)*12+MONTH($H$26)), (YEAR(DATE(2024,12,31))*12+MONTH(DATE(2024,12,31)))) - MAX((YEAR($G$26)*12+MONTH($G$26)), (YEAR(DATE(2024,10,1))*12+MONTH(DATE(2024,10,1)))) + 1),0)</f>
        <v/>
      </c>
      <c r="AA26" s="16">
        <f>IF(($G$26&lt;=DATE(2025,3,31))*($H$26&gt;=DATE(2025,1,1)),$C$26 * $F$26 * MAX(0, MIN((YEAR($H$26)*12+MONTH($H$26)), (YEAR(DATE(2025,3,31))*12+MONTH(DATE(2025,3,31)))) - MAX((YEAR($G$26)*12+MONTH($G$26)), (YEAR(DATE(2025,1,1))*12+MONTH(DATE(2025,1,1)))) + 1),0)</f>
        <v/>
      </c>
      <c r="AB26" s="16">
        <f>IF(($G$26&lt;=DATE(2025,6,30))*($H$26&gt;=DATE(2025,4,1)),$C$26 * $F$26 * MAX(0, MIN((YEAR($H$26)*12+MONTH($H$26)), (YEAR(DATE(2025,6,30))*12+MONTH(DATE(2025,6,30)))) - MAX((YEAR($G$26)*12+MONTH($G$26)), (YEAR(DATE(2025,4,1))*12+MONTH(DATE(2025,4,1)))) + 1),0)</f>
        <v/>
      </c>
      <c r="AC26" s="16">
        <f>IF(($G$26&lt;=DATE(2025,9,30))*($H$26&gt;=DATE(2025,7,1)),$C$26 * $F$26 * MAX(0, MIN((YEAR($H$26)*12+MONTH($H$26)), (YEAR(DATE(2025,9,30))*12+MONTH(DATE(2025,9,30)))) - MAX((YEAR($G$26)*12+MONTH($G$26)), (YEAR(DATE(2025,7,1))*12+MONTH(DATE(2025,7,1)))) + 1),0)</f>
        <v/>
      </c>
      <c r="AD26" s="16">
        <f>IF(($G$26&lt;=DATE(2025,12,31))*($H$26&gt;=DATE(2025,10,1)),$C$26 * $F$26 * MAX(0, MIN((YEAR($H$26)*12+MONTH($H$26)), (YEAR(DATE(2025,12,31))*12+MONTH(DATE(2025,12,31)))) - MAX((YEAR($G$26)*12+MONTH($G$26)), (YEAR(DATE(2025,10,1))*12+MONTH(DATE(2025,10,1)))) + 1),0)</f>
        <v/>
      </c>
      <c r="AE26" s="16">
        <f>IF(($G$26&lt;=DATE(2026,3,31))*($H$26&gt;=DATE(2026,1,1)),$C$26 * $F$26 * MAX(0, MIN((YEAR($H$26)*12+MONTH($H$26)), (YEAR(DATE(2026,3,31))*12+MONTH(DATE(2026,3,31)))) - MAX((YEAR($G$26)*12+MONTH($G$26)), (YEAR(DATE(2026,1,1))*12+MONTH(DATE(2026,1,1)))) + 1),0)</f>
        <v/>
      </c>
      <c r="AF26" s="16">
        <f>IF(($G$26&lt;=DATE(2026,6,30))*($H$26&gt;=DATE(2026,4,1)),$C$26 * $F$26 * MAX(0, MIN((YEAR($H$26)*12+MONTH($H$26)), (YEAR(DATE(2026,6,30))*12+MONTH(DATE(2026,6,30)))) - MAX((YEAR($G$26)*12+MONTH($G$26)), (YEAR(DATE(2026,4,1))*12+MONTH(DATE(2026,4,1)))) + 1),0)</f>
        <v/>
      </c>
      <c r="AG26" s="16">
        <f>IF(($G$26&lt;=DATE(2026,9,30))*($H$26&gt;=DATE(2026,7,1)),$C$26 * $F$26 * MAX(0, MIN((YEAR($H$26)*12+MONTH($H$26)), (YEAR(DATE(2026,9,30))*12+MONTH(DATE(2026,9,30)))) - MAX((YEAR($G$26)*12+MONTH($G$26)), (YEAR(DATE(2026,7,1))*12+MONTH(DATE(2026,7,1)))) + 1),0)</f>
        <v/>
      </c>
      <c r="AH26" s="16">
        <f>IF(($G$26&lt;=DATE(2026,12,31))*($H$26&gt;=DATE(2026,10,1)),$C$26 * $F$26 * MAX(0, MIN((YEAR($H$26)*12+MONTH($H$26)), (YEAR(DATE(2026,12,31))*12+MONTH(DATE(2026,12,31)))) - MAX((YEAR($G$26)*12+MONTH($G$26)), (YEAR(DATE(2026,10,1))*12+MONTH(DATE(2026,10,1)))) + 1),0)</f>
        <v/>
      </c>
      <c r="AI26" s="16">
        <f>IF(($G$26&lt;=DATE(2027,3,31))*($H$26&gt;=DATE(2027,1,1)),$C$26 * $F$26 * MAX(0, MIN((YEAR($H$26)*12+MONTH($H$26)), (YEAR(DATE(2027,3,31))*12+MONTH(DATE(2027,3,31)))) - MAX((YEAR($G$26)*12+MONTH($G$26)), (YEAR(DATE(2027,1,1))*12+MONTH(DATE(2027,1,1)))) + 1),0)</f>
        <v/>
      </c>
      <c r="AJ26" s="16">
        <f>IF(($G$26&lt;=DATE(2027,6,30))*($H$26&gt;=DATE(2027,4,1)),$C$26 * $F$26 * MAX(0, MIN((YEAR($H$26)*12+MONTH($H$26)), (YEAR(DATE(2027,6,30))*12+MONTH(DATE(2027,6,30)))) - MAX((YEAR($G$26)*12+MONTH($G$26)), (YEAR(DATE(2027,4,1))*12+MONTH(DATE(2027,4,1)))) + 1),0)</f>
        <v/>
      </c>
      <c r="AK26" s="16">
        <f>IF(($G$26&lt;=DATE(2027,9,30))*($H$26&gt;=DATE(2027,7,1)),$C$26 * $F$26 * MAX(0, MIN((YEAR($H$26)*12+MONTH($H$26)), (YEAR(DATE(2027,9,30))*12+MONTH(DATE(2027,9,30)))) - MAX((YEAR($G$26)*12+MONTH($G$26)), (YEAR(DATE(2027,7,1))*12+MONTH(DATE(2027,7,1)))) + 1),0)</f>
        <v/>
      </c>
      <c r="AL26" s="16">
        <f>IF(($G$26&lt;=DATE(2027,12,31))*($H$26&gt;=DATE(2027,10,1)),$C$26 * $F$26 * MAX(0, MIN((YEAR($H$26)*12+MONTH($H$26)), (YEAR(DATE(2027,12,31))*12+MONTH(DATE(2027,12,31)))) - MAX((YEAR($G$26)*12+MONTH($G$26)), (YEAR(DATE(2027,10,1))*12+MONTH(DATE(2027,10,1)))) + 1),0)</f>
        <v/>
      </c>
      <c r="AM26" s="16">
        <f>IF(($G$26&lt;=DATE(2028,3,31))*($H$26&gt;=DATE(2028,1,1)),$C$26 * $F$26 * MAX(0, MIN((YEAR($H$26)*12+MONTH($H$26)), (YEAR(DATE(2028,3,31))*12+MONTH(DATE(2028,3,31)))) - MAX((YEAR($G$26)*12+MONTH($G$26)), (YEAR(DATE(2028,1,1))*12+MONTH(DATE(2028,1,1)))) + 1),0)</f>
        <v/>
      </c>
      <c r="AN26" s="16">
        <f>IF(($G$26&lt;=DATE(2028,6,30))*($H$26&gt;=DATE(2028,4,1)),$C$26 * $F$26 * MAX(0, MIN((YEAR($H$26)*12+MONTH($H$26)), (YEAR(DATE(2028,6,30))*12+MONTH(DATE(2028,6,30)))) - MAX((YEAR($G$26)*12+MONTH($G$26)), (YEAR(DATE(2028,4,1))*12+MONTH(DATE(2028,4,1)))) + 1),0)</f>
        <v/>
      </c>
      <c r="AO26" s="16">
        <f>IF(($G$26&lt;=DATE(2028,9,30))*($H$26&gt;=DATE(2028,7,1)),$C$26 * $F$26 * MAX(0, MIN((YEAR($H$26)*12+MONTH($H$26)), (YEAR(DATE(2028,9,30))*12+MONTH(DATE(2028,9,30)))) - MAX((YEAR($G$26)*12+MONTH($G$26)), (YEAR(DATE(2028,7,1))*12+MONTH(DATE(2028,7,1)))) + 1),0)</f>
        <v/>
      </c>
      <c r="AP26" s="16">
        <f>IF(($G$26&lt;=DATE(2028,12,31))*($H$26&gt;=DATE(2028,10,1)),$C$26 * $F$26 * MAX(0, MIN((YEAR($H$26)*12+MONTH($H$26)), (YEAR(DATE(2028,12,31))*12+MONTH(DATE(2028,12,31)))) - MAX((YEAR($G$26)*12+MONTH($G$26)), (YEAR(DATE(2028,10,1))*12+MONTH(DATE(2028,10,1)))) + 1),0)</f>
        <v/>
      </c>
      <c r="AQ26" s="16">
        <f>IF(AND($D$26 &gt;= DATE(2021,1,1), $D$26 &lt;= DATE(2021,3,31)), $C$26 * $E$26 * $F$26, 0)</f>
        <v/>
      </c>
      <c r="AR26" s="16">
        <f>IF(AND($D$26 &gt;= DATE(2021,4,1), $D$26 &lt;= DATE(2021,6,30)), $C$26 * $E$26 * $F$26, 0)</f>
        <v/>
      </c>
      <c r="AS26" s="16">
        <f>IF(AND($D$26 &gt;= DATE(2021,7,1), $D$26 &lt;= DATE(2021,9,30)), $C$26 * $E$26 * $F$26, 0)</f>
        <v/>
      </c>
      <c r="AT26" s="16">
        <f>IF(AND($D$26 &gt;= DATE(2021,10,1), $D$26 &lt;= DATE(2021,12,31)), $C$26 * $E$26 * $F$26, 0)</f>
        <v/>
      </c>
      <c r="AU26" s="16">
        <f>IF(AND($D$26 &gt;= DATE(2022,1,1), $D$26 &lt;= DATE(2022,3,31)), $C$26 * $E$26 * $F$26, 0)</f>
        <v/>
      </c>
      <c r="AV26" s="16">
        <f>IF(AND($D$26 &gt;= DATE(2022,4,1), $D$26 &lt;= DATE(2022,6,30)), $C$26 * $E$26 * $F$26, 0)</f>
        <v/>
      </c>
      <c r="AW26" s="16">
        <f>IF(AND($D$26 &gt;= DATE(2022,7,1), $D$26 &lt;= DATE(2022,9,30)), $C$26 * $E$26 * $F$26, 0)</f>
        <v/>
      </c>
      <c r="AX26" s="16">
        <f>IF(AND($D$26 &gt;= DATE(2022,10,1), $D$26 &lt;= DATE(2022,12,31)), $C$26 * $E$26 * $F$26, 0)</f>
        <v/>
      </c>
      <c r="AY26" s="16">
        <f>IF(AND($D$26 &gt;= DATE(2023,1,1), $D$26 &lt;= DATE(2023,3,31)), $C$26 * $E$26 * $F$26, 0)</f>
        <v/>
      </c>
      <c r="AZ26" s="16">
        <f>IF(AND($D$26 &gt;= DATE(2023,4,1), $D$26 &lt;= DATE(2023,6,30)), $C$26 * $E$26 * $F$26, 0)</f>
        <v/>
      </c>
      <c r="BA26" s="16">
        <f>IF(AND($D$26 &gt;= DATE(2023,7,1), $D$26 &lt;= DATE(2023,9,30)), $C$26 * $E$26 * $F$26, 0)</f>
        <v/>
      </c>
      <c r="BB26" s="16">
        <f>IF(AND($D$26 &gt;= DATE(2023,10,1), $D$26 &lt;= DATE(2023,12,31)), $C$26 * $E$26 * $F$26, 0)</f>
        <v/>
      </c>
      <c r="BC26" s="16">
        <f>IF(AND($D$26 &gt;= DATE(2024,1,1), $D$26 &lt;= DATE(2024,3,31)), $C$26 * $E$26 * $F$26, 0)</f>
        <v/>
      </c>
      <c r="BD26" s="16">
        <f>IF(AND($D$26 &gt;= DATE(2024,4,1), $D$26 &lt;= DATE(2024,6,30)), $C$26 * $E$26 * $F$26, 0)</f>
        <v/>
      </c>
      <c r="BE26" s="16">
        <f>IF(AND($D$26 &gt;= DATE(2024,7,1), $D$26 &lt;= DATE(2024,9,30)), $C$26 * $E$26 * $F$26, 0)</f>
        <v/>
      </c>
      <c r="BF26" s="16">
        <f>IF(AND($D$26 &gt;= DATE(2024,10,1), $D$26 &lt;= DATE(2024,12,31)), $C$26 * $E$26 * $F$26, 0)</f>
        <v/>
      </c>
      <c r="BG26" s="16">
        <f>IF(AND($D$26 &gt;= DATE(2025,1,1), $D$26 &lt;= DATE(2025,3,31)), $C$26 * $E$26 * $F$26, 0)</f>
        <v/>
      </c>
      <c r="BH26" s="16">
        <f>IF(AND($D$26 &gt;= DATE(2025,4,1), $D$26 &lt;= DATE(2025,6,30)), $C$26 * $E$26 * $F$26, 0)</f>
        <v/>
      </c>
      <c r="BI26" s="16">
        <f>IF(AND($D$26 &gt;= DATE(2025,7,1), $D$26 &lt;= DATE(2025,9,30)), $C$26 * $E$26 * $F$26, 0)</f>
        <v/>
      </c>
      <c r="BJ26" s="16">
        <f>IF(AND($D$26 &gt;= DATE(2025,10,1), $D$26 &lt;= DATE(2025,12,31)), $C$26 * $E$26 * $F$26, 0)</f>
        <v/>
      </c>
      <c r="BK26" s="16">
        <f>IF(AND($D$26 &gt;= DATE(2026,1,1), $D$26 &lt;= DATE(2026,3,31)), $C$26 * $E$26 * $F$26, 0)</f>
        <v/>
      </c>
      <c r="BL26" s="16">
        <f>IF(AND($D$26 &gt;= DATE(2026,4,1), $D$26 &lt;= DATE(2026,6,30)), $C$26 * $E$26 * $F$26, 0)</f>
        <v/>
      </c>
      <c r="BM26" s="16">
        <f>IF(AND($D$26 &gt;= DATE(2026,7,1), $D$26 &lt;= DATE(2026,9,30)), $C$26 * $E$26 * $F$26, 0)</f>
        <v/>
      </c>
      <c r="BN26" s="16">
        <f>IF(AND($D$26 &gt;= DATE(2026,10,1), $D$26 &lt;= DATE(2026,12,31)), $C$26 * $E$26 * $F$26, 0)</f>
        <v/>
      </c>
      <c r="BO26" s="16">
        <f>IF(AND($D$26 &gt;= DATE(2027,1,1), $D$26 &lt;= DATE(2027,3,31)), $C$26 * $E$26 * $F$26, 0)</f>
        <v/>
      </c>
      <c r="BP26" s="16">
        <f>IF(AND($D$26 &gt;= DATE(2027,4,1), $D$26 &lt;= DATE(2027,6,30)), $C$26 * $E$26 * $F$26, 0)</f>
        <v/>
      </c>
      <c r="BQ26" s="16">
        <f>IF(AND($D$26 &gt;= DATE(2027,7,1), $D$26 &lt;= DATE(2027,9,30)), $C$26 * $E$26 * $F$26, 0)</f>
        <v/>
      </c>
      <c r="BR26" s="16">
        <f>IF(AND($D$26 &gt;= DATE(2027,10,1), $D$26 &lt;= DATE(2027,12,31)), $C$26 * $E$26 * $F$26, 0)</f>
        <v/>
      </c>
      <c r="BS26" s="16">
        <f>IF(AND($D$26 &gt;= DATE(2028,1,1), $D$26 &lt;= DATE(2028,3,31)), $C$26 * $E$26 * $F$26, 0)</f>
        <v/>
      </c>
      <c r="BT26" s="16">
        <f>IF(AND($D$26 &gt;= DATE(2028,4,1), $D$26 &lt;= DATE(2028,6,30)), $C$26 * $E$26 * $F$26, 0)</f>
        <v/>
      </c>
      <c r="BU26" s="16">
        <f>IF(AND($D$26 &gt;= DATE(2028,7,1), $D$26 &lt;= DATE(2028,9,30)), $C$26 * $E$26 * $F$26, 0)</f>
        <v/>
      </c>
      <c r="BV26" s="16">
        <f>IF(AND($D$26 &gt;= DATE(2028,10,1), $D$26 &lt;= DATE(2028,12,31)), $C$26 * $E$26 * $F$26, 0)</f>
        <v/>
      </c>
    </row>
    <row r="27">
      <c r="B27" t="inlineStr">
        <is>
          <t>Westgate &gt; Ashgrove Labs &gt; Enclosure Extension</t>
        </is>
      </c>
      <c r="C27" s="16" t="n">
        <v>45000</v>
      </c>
      <c r="D27" s="18" t="n">
        <v>46296</v>
      </c>
      <c r="E27" s="16" t="n">
        <v>2</v>
      </c>
      <c r="F27" s="19" t="n">
        <v>0.4</v>
      </c>
      <c r="G27" s="18" t="n">
        <v>46327</v>
      </c>
      <c r="H27" s="18" t="n">
        <v>46357</v>
      </c>
      <c r="I27" s="16">
        <f>$C$27 * $E$27</f>
        <v/>
      </c>
      <c r="J27" s="20">
        <f>$C$27 * $E$27 * $F$27</f>
        <v/>
      </c>
      <c r="K27" s="16">
        <f>IF(($G$27&lt;=DATE(2021,3,31))*($H$27&gt;=DATE(2021,1,1)),$C$27 * $F$27 * MAX(0, MIN((YEAR($H$27)*12+MONTH($H$27)), (YEAR(DATE(2021,3,31))*12+MONTH(DATE(2021,3,31)))) - MAX((YEAR($G$27)*12+MONTH($G$27)), (YEAR(DATE(2021,1,1))*12+MONTH(DATE(2021,1,1)))) + 1),0)</f>
        <v/>
      </c>
      <c r="L27" s="16">
        <f>IF(($G$27&lt;=DATE(2021,6,30))*($H$27&gt;=DATE(2021,4,1)),$C$27 * $F$27 * MAX(0, MIN((YEAR($H$27)*12+MONTH($H$27)), (YEAR(DATE(2021,6,30))*12+MONTH(DATE(2021,6,30)))) - MAX((YEAR($G$27)*12+MONTH($G$27)), (YEAR(DATE(2021,4,1))*12+MONTH(DATE(2021,4,1)))) + 1),0)</f>
        <v/>
      </c>
      <c r="M27" s="16">
        <f>IF(($G$27&lt;=DATE(2021,9,30))*($H$27&gt;=DATE(2021,7,1)),$C$27 * $F$27 * MAX(0, MIN((YEAR($H$27)*12+MONTH($H$27)), (YEAR(DATE(2021,9,30))*12+MONTH(DATE(2021,9,30)))) - MAX((YEAR($G$27)*12+MONTH($G$27)), (YEAR(DATE(2021,7,1))*12+MONTH(DATE(2021,7,1)))) + 1),0)</f>
        <v/>
      </c>
      <c r="N27" s="16">
        <f>IF(($G$27&lt;=DATE(2021,12,31))*($H$27&gt;=DATE(2021,10,1)),$C$27 * $F$27 * MAX(0, MIN((YEAR($H$27)*12+MONTH($H$27)), (YEAR(DATE(2021,12,31))*12+MONTH(DATE(2021,12,31)))) - MAX((YEAR($G$27)*12+MONTH($G$27)), (YEAR(DATE(2021,10,1))*12+MONTH(DATE(2021,10,1)))) + 1),0)</f>
        <v/>
      </c>
      <c r="O27" s="16">
        <f>IF(($G$27&lt;=DATE(2022,3,31))*($H$27&gt;=DATE(2022,1,1)),$C$27 * $F$27 * MAX(0, MIN((YEAR($H$27)*12+MONTH($H$27)), (YEAR(DATE(2022,3,31))*12+MONTH(DATE(2022,3,31)))) - MAX((YEAR($G$27)*12+MONTH($G$27)), (YEAR(DATE(2022,1,1))*12+MONTH(DATE(2022,1,1)))) + 1),0)</f>
        <v/>
      </c>
      <c r="P27" s="16">
        <f>IF(($G$27&lt;=DATE(2022,6,30))*($H$27&gt;=DATE(2022,4,1)),$C$27 * $F$27 * MAX(0, MIN((YEAR($H$27)*12+MONTH($H$27)), (YEAR(DATE(2022,6,30))*12+MONTH(DATE(2022,6,30)))) - MAX((YEAR($G$27)*12+MONTH($G$27)), (YEAR(DATE(2022,4,1))*12+MONTH(DATE(2022,4,1)))) + 1),0)</f>
        <v/>
      </c>
      <c r="Q27" s="16">
        <f>IF(($G$27&lt;=DATE(2022,9,30))*($H$27&gt;=DATE(2022,7,1)),$C$27 * $F$27 * MAX(0, MIN((YEAR($H$27)*12+MONTH($H$27)), (YEAR(DATE(2022,9,30))*12+MONTH(DATE(2022,9,30)))) - MAX((YEAR($G$27)*12+MONTH($G$27)), (YEAR(DATE(2022,7,1))*12+MONTH(DATE(2022,7,1)))) + 1),0)</f>
        <v/>
      </c>
      <c r="R27" s="16">
        <f>IF(($G$27&lt;=DATE(2022,12,31))*($H$27&gt;=DATE(2022,10,1)),$C$27 * $F$27 * MAX(0, MIN((YEAR($H$27)*12+MONTH($H$27)), (YEAR(DATE(2022,12,31))*12+MONTH(DATE(2022,12,31)))) - MAX((YEAR($G$27)*12+MONTH($G$27)), (YEAR(DATE(2022,10,1))*12+MONTH(DATE(2022,10,1)))) + 1),0)</f>
        <v/>
      </c>
      <c r="S27" s="16">
        <f>IF(($G$27&lt;=DATE(2023,3,31))*($H$27&gt;=DATE(2023,1,1)),$C$27 * $F$27 * MAX(0, MIN((YEAR($H$27)*12+MONTH($H$27)), (YEAR(DATE(2023,3,31))*12+MONTH(DATE(2023,3,31)))) - MAX((YEAR($G$27)*12+MONTH($G$27)), (YEAR(DATE(2023,1,1))*12+MONTH(DATE(2023,1,1)))) + 1),0)</f>
        <v/>
      </c>
      <c r="T27" s="16">
        <f>IF(($G$27&lt;=DATE(2023,6,30))*($H$27&gt;=DATE(2023,4,1)),$C$27 * $F$27 * MAX(0, MIN((YEAR($H$27)*12+MONTH($H$27)), (YEAR(DATE(2023,6,30))*12+MONTH(DATE(2023,6,30)))) - MAX((YEAR($G$27)*12+MONTH($G$27)), (YEAR(DATE(2023,4,1))*12+MONTH(DATE(2023,4,1)))) + 1),0)</f>
        <v/>
      </c>
      <c r="U27" s="16">
        <f>IF(($G$27&lt;=DATE(2023,9,30))*($H$27&gt;=DATE(2023,7,1)),$C$27 * $F$27 * MAX(0, MIN((YEAR($H$27)*12+MONTH($H$27)), (YEAR(DATE(2023,9,30))*12+MONTH(DATE(2023,9,30)))) - MAX((YEAR($G$27)*12+MONTH($G$27)), (YEAR(DATE(2023,7,1))*12+MONTH(DATE(2023,7,1)))) + 1),0)</f>
        <v/>
      </c>
      <c r="V27" s="16">
        <f>IF(($G$27&lt;=DATE(2023,12,31))*($H$27&gt;=DATE(2023,10,1)),$C$27 * $F$27 * MAX(0, MIN((YEAR($H$27)*12+MONTH($H$27)), (YEAR(DATE(2023,12,31))*12+MONTH(DATE(2023,12,31)))) - MAX((YEAR($G$27)*12+MONTH($G$27)), (YEAR(DATE(2023,10,1))*12+MONTH(DATE(2023,10,1)))) + 1),0)</f>
        <v/>
      </c>
      <c r="W27" s="16">
        <f>IF(($G$27&lt;=DATE(2024,3,31))*($H$27&gt;=DATE(2024,1,1)),$C$27 * $F$27 * MAX(0, MIN((YEAR($H$27)*12+MONTH($H$27)), (YEAR(DATE(2024,3,31))*12+MONTH(DATE(2024,3,31)))) - MAX((YEAR($G$27)*12+MONTH($G$27)), (YEAR(DATE(2024,1,1))*12+MONTH(DATE(2024,1,1)))) + 1),0)</f>
        <v/>
      </c>
      <c r="X27" s="16">
        <f>IF(($G$27&lt;=DATE(2024,6,30))*($H$27&gt;=DATE(2024,4,1)),$C$27 * $F$27 * MAX(0, MIN((YEAR($H$27)*12+MONTH($H$27)), (YEAR(DATE(2024,6,30))*12+MONTH(DATE(2024,6,30)))) - MAX((YEAR($G$27)*12+MONTH($G$27)), (YEAR(DATE(2024,4,1))*12+MONTH(DATE(2024,4,1)))) + 1),0)</f>
        <v/>
      </c>
      <c r="Y27" s="16">
        <f>IF(($G$27&lt;=DATE(2024,9,30))*($H$27&gt;=DATE(2024,7,1)),$C$27 * $F$27 * MAX(0, MIN((YEAR($H$27)*12+MONTH($H$27)), (YEAR(DATE(2024,9,30))*12+MONTH(DATE(2024,9,30)))) - MAX((YEAR($G$27)*12+MONTH($G$27)), (YEAR(DATE(2024,7,1))*12+MONTH(DATE(2024,7,1)))) + 1),0)</f>
        <v/>
      </c>
      <c r="Z27" s="16">
        <f>IF(($G$27&lt;=DATE(2024,12,31))*($H$27&gt;=DATE(2024,10,1)),$C$27 * $F$27 * MAX(0, MIN((YEAR($H$27)*12+MONTH($H$27)), (YEAR(DATE(2024,12,31))*12+MONTH(DATE(2024,12,31)))) - MAX((YEAR($G$27)*12+MONTH($G$27)), (YEAR(DATE(2024,10,1))*12+MONTH(DATE(2024,10,1)))) + 1),0)</f>
        <v/>
      </c>
      <c r="AA27" s="16">
        <f>IF(($G$27&lt;=DATE(2025,3,31))*($H$27&gt;=DATE(2025,1,1)),$C$27 * $F$27 * MAX(0, MIN((YEAR($H$27)*12+MONTH($H$27)), (YEAR(DATE(2025,3,31))*12+MONTH(DATE(2025,3,31)))) - MAX((YEAR($G$27)*12+MONTH($G$27)), (YEAR(DATE(2025,1,1))*12+MONTH(DATE(2025,1,1)))) + 1),0)</f>
        <v/>
      </c>
      <c r="AB27" s="16">
        <f>IF(($G$27&lt;=DATE(2025,6,30))*($H$27&gt;=DATE(2025,4,1)),$C$27 * $F$27 * MAX(0, MIN((YEAR($H$27)*12+MONTH($H$27)), (YEAR(DATE(2025,6,30))*12+MONTH(DATE(2025,6,30)))) - MAX((YEAR($G$27)*12+MONTH($G$27)), (YEAR(DATE(2025,4,1))*12+MONTH(DATE(2025,4,1)))) + 1),0)</f>
        <v/>
      </c>
      <c r="AC27" s="16">
        <f>IF(($G$27&lt;=DATE(2025,9,30))*($H$27&gt;=DATE(2025,7,1)),$C$27 * $F$27 * MAX(0, MIN((YEAR($H$27)*12+MONTH($H$27)), (YEAR(DATE(2025,9,30))*12+MONTH(DATE(2025,9,30)))) - MAX((YEAR($G$27)*12+MONTH($G$27)), (YEAR(DATE(2025,7,1))*12+MONTH(DATE(2025,7,1)))) + 1),0)</f>
        <v/>
      </c>
      <c r="AD27" s="16">
        <f>IF(($G$27&lt;=DATE(2025,12,31))*($H$27&gt;=DATE(2025,10,1)),$C$27 * $F$27 * MAX(0, MIN((YEAR($H$27)*12+MONTH($H$27)), (YEAR(DATE(2025,12,31))*12+MONTH(DATE(2025,12,31)))) - MAX((YEAR($G$27)*12+MONTH($G$27)), (YEAR(DATE(2025,10,1))*12+MONTH(DATE(2025,10,1)))) + 1),0)</f>
        <v/>
      </c>
      <c r="AE27" s="16">
        <f>IF(($G$27&lt;=DATE(2026,3,31))*($H$27&gt;=DATE(2026,1,1)),$C$27 * $F$27 * MAX(0, MIN((YEAR($H$27)*12+MONTH($H$27)), (YEAR(DATE(2026,3,31))*12+MONTH(DATE(2026,3,31)))) - MAX((YEAR($G$27)*12+MONTH($G$27)), (YEAR(DATE(2026,1,1))*12+MONTH(DATE(2026,1,1)))) + 1),0)</f>
        <v/>
      </c>
      <c r="AF27" s="16">
        <f>IF(($G$27&lt;=DATE(2026,6,30))*($H$27&gt;=DATE(2026,4,1)),$C$27 * $F$27 * MAX(0, MIN((YEAR($H$27)*12+MONTH($H$27)), (YEAR(DATE(2026,6,30))*12+MONTH(DATE(2026,6,30)))) - MAX((YEAR($G$27)*12+MONTH($G$27)), (YEAR(DATE(2026,4,1))*12+MONTH(DATE(2026,4,1)))) + 1),0)</f>
        <v/>
      </c>
      <c r="AG27" s="16">
        <f>IF(($G$27&lt;=DATE(2026,9,30))*($H$27&gt;=DATE(2026,7,1)),$C$27 * $F$27 * MAX(0, MIN((YEAR($H$27)*12+MONTH($H$27)), (YEAR(DATE(2026,9,30))*12+MONTH(DATE(2026,9,30)))) - MAX((YEAR($G$27)*12+MONTH($G$27)), (YEAR(DATE(2026,7,1))*12+MONTH(DATE(2026,7,1)))) + 1),0)</f>
        <v/>
      </c>
      <c r="AH27" s="16">
        <f>IF(($G$27&lt;=DATE(2026,12,31))*($H$27&gt;=DATE(2026,10,1)),$C$27 * $F$27 * MAX(0, MIN((YEAR($H$27)*12+MONTH($H$27)), (YEAR(DATE(2026,12,31))*12+MONTH(DATE(2026,12,31)))) - MAX((YEAR($G$27)*12+MONTH($G$27)), (YEAR(DATE(2026,10,1))*12+MONTH(DATE(2026,10,1)))) + 1),0)</f>
        <v/>
      </c>
      <c r="AI27" s="16">
        <f>IF(($G$27&lt;=DATE(2027,3,31))*($H$27&gt;=DATE(2027,1,1)),$C$27 * $F$27 * MAX(0, MIN((YEAR($H$27)*12+MONTH($H$27)), (YEAR(DATE(2027,3,31))*12+MONTH(DATE(2027,3,31)))) - MAX((YEAR($G$27)*12+MONTH($G$27)), (YEAR(DATE(2027,1,1))*12+MONTH(DATE(2027,1,1)))) + 1),0)</f>
        <v/>
      </c>
      <c r="AJ27" s="16">
        <f>IF(($G$27&lt;=DATE(2027,6,30))*($H$27&gt;=DATE(2027,4,1)),$C$27 * $F$27 * MAX(0, MIN((YEAR($H$27)*12+MONTH($H$27)), (YEAR(DATE(2027,6,30))*12+MONTH(DATE(2027,6,30)))) - MAX((YEAR($G$27)*12+MONTH($G$27)), (YEAR(DATE(2027,4,1))*12+MONTH(DATE(2027,4,1)))) + 1),0)</f>
        <v/>
      </c>
      <c r="AK27" s="16">
        <f>IF(($G$27&lt;=DATE(2027,9,30))*($H$27&gt;=DATE(2027,7,1)),$C$27 * $F$27 * MAX(0, MIN((YEAR($H$27)*12+MONTH($H$27)), (YEAR(DATE(2027,9,30))*12+MONTH(DATE(2027,9,30)))) - MAX((YEAR($G$27)*12+MONTH($G$27)), (YEAR(DATE(2027,7,1))*12+MONTH(DATE(2027,7,1)))) + 1),0)</f>
        <v/>
      </c>
      <c r="AL27" s="16">
        <f>IF(($G$27&lt;=DATE(2027,12,31))*($H$27&gt;=DATE(2027,10,1)),$C$27 * $F$27 * MAX(0, MIN((YEAR($H$27)*12+MONTH($H$27)), (YEAR(DATE(2027,12,31))*12+MONTH(DATE(2027,12,31)))) - MAX((YEAR($G$27)*12+MONTH($G$27)), (YEAR(DATE(2027,10,1))*12+MONTH(DATE(2027,10,1)))) + 1),0)</f>
        <v/>
      </c>
      <c r="AM27" s="16">
        <f>IF(($G$27&lt;=DATE(2028,3,31))*($H$27&gt;=DATE(2028,1,1)),$C$27 * $F$27 * MAX(0, MIN((YEAR($H$27)*12+MONTH($H$27)), (YEAR(DATE(2028,3,31))*12+MONTH(DATE(2028,3,31)))) - MAX((YEAR($G$27)*12+MONTH($G$27)), (YEAR(DATE(2028,1,1))*12+MONTH(DATE(2028,1,1)))) + 1),0)</f>
        <v/>
      </c>
      <c r="AN27" s="16">
        <f>IF(($G$27&lt;=DATE(2028,6,30))*($H$27&gt;=DATE(2028,4,1)),$C$27 * $F$27 * MAX(0, MIN((YEAR($H$27)*12+MONTH($H$27)), (YEAR(DATE(2028,6,30))*12+MONTH(DATE(2028,6,30)))) - MAX((YEAR($G$27)*12+MONTH($G$27)), (YEAR(DATE(2028,4,1))*12+MONTH(DATE(2028,4,1)))) + 1),0)</f>
        <v/>
      </c>
      <c r="AO27" s="16">
        <f>IF(($G$27&lt;=DATE(2028,9,30))*($H$27&gt;=DATE(2028,7,1)),$C$27 * $F$27 * MAX(0, MIN((YEAR($H$27)*12+MONTH($H$27)), (YEAR(DATE(2028,9,30))*12+MONTH(DATE(2028,9,30)))) - MAX((YEAR($G$27)*12+MONTH($G$27)), (YEAR(DATE(2028,7,1))*12+MONTH(DATE(2028,7,1)))) + 1),0)</f>
        <v/>
      </c>
      <c r="AP27" s="16">
        <f>IF(($G$27&lt;=DATE(2028,12,31))*($H$27&gt;=DATE(2028,10,1)),$C$27 * $F$27 * MAX(0, MIN((YEAR($H$27)*12+MONTH($H$27)), (YEAR(DATE(2028,12,31))*12+MONTH(DATE(2028,12,31)))) - MAX((YEAR($G$27)*12+MONTH($G$27)), (YEAR(DATE(2028,10,1))*12+MONTH(DATE(2028,10,1)))) + 1),0)</f>
        <v/>
      </c>
      <c r="AQ27" s="16">
        <f>IF(AND($D$27 &gt;= DATE(2021,1,1), $D$27 &lt;= DATE(2021,3,31)), $C$27 * $E$27 * $F$27, 0)</f>
        <v/>
      </c>
      <c r="AR27" s="16">
        <f>IF(AND($D$27 &gt;= DATE(2021,4,1), $D$27 &lt;= DATE(2021,6,30)), $C$27 * $E$27 * $F$27, 0)</f>
        <v/>
      </c>
      <c r="AS27" s="16">
        <f>IF(AND($D$27 &gt;= DATE(2021,7,1), $D$27 &lt;= DATE(2021,9,30)), $C$27 * $E$27 * $F$27, 0)</f>
        <v/>
      </c>
      <c r="AT27" s="16">
        <f>IF(AND($D$27 &gt;= DATE(2021,10,1), $D$27 &lt;= DATE(2021,12,31)), $C$27 * $E$27 * $F$27, 0)</f>
        <v/>
      </c>
      <c r="AU27" s="16">
        <f>IF(AND($D$27 &gt;= DATE(2022,1,1), $D$27 &lt;= DATE(2022,3,31)), $C$27 * $E$27 * $F$27, 0)</f>
        <v/>
      </c>
      <c r="AV27" s="16">
        <f>IF(AND($D$27 &gt;= DATE(2022,4,1), $D$27 &lt;= DATE(2022,6,30)), $C$27 * $E$27 * $F$27, 0)</f>
        <v/>
      </c>
      <c r="AW27" s="16">
        <f>IF(AND($D$27 &gt;= DATE(2022,7,1), $D$27 &lt;= DATE(2022,9,30)), $C$27 * $E$27 * $F$27, 0)</f>
        <v/>
      </c>
      <c r="AX27" s="16">
        <f>IF(AND($D$27 &gt;= DATE(2022,10,1), $D$27 &lt;= DATE(2022,12,31)), $C$27 * $E$27 * $F$27, 0)</f>
        <v/>
      </c>
      <c r="AY27" s="16">
        <f>IF(AND($D$27 &gt;= DATE(2023,1,1), $D$27 &lt;= DATE(2023,3,31)), $C$27 * $E$27 * $F$27, 0)</f>
        <v/>
      </c>
      <c r="AZ27" s="16">
        <f>IF(AND($D$27 &gt;= DATE(2023,4,1), $D$27 &lt;= DATE(2023,6,30)), $C$27 * $E$27 * $F$27, 0)</f>
        <v/>
      </c>
      <c r="BA27" s="16">
        <f>IF(AND($D$27 &gt;= DATE(2023,7,1), $D$27 &lt;= DATE(2023,9,30)), $C$27 * $E$27 * $F$27, 0)</f>
        <v/>
      </c>
      <c r="BB27" s="16">
        <f>IF(AND($D$27 &gt;= DATE(2023,10,1), $D$27 &lt;= DATE(2023,12,31)), $C$27 * $E$27 * $F$27, 0)</f>
        <v/>
      </c>
      <c r="BC27" s="16">
        <f>IF(AND($D$27 &gt;= DATE(2024,1,1), $D$27 &lt;= DATE(2024,3,31)), $C$27 * $E$27 * $F$27, 0)</f>
        <v/>
      </c>
      <c r="BD27" s="16">
        <f>IF(AND($D$27 &gt;= DATE(2024,4,1), $D$27 &lt;= DATE(2024,6,30)), $C$27 * $E$27 * $F$27, 0)</f>
        <v/>
      </c>
      <c r="BE27" s="16">
        <f>IF(AND($D$27 &gt;= DATE(2024,7,1), $D$27 &lt;= DATE(2024,9,30)), $C$27 * $E$27 * $F$27, 0)</f>
        <v/>
      </c>
      <c r="BF27" s="16">
        <f>IF(AND($D$27 &gt;= DATE(2024,10,1), $D$27 &lt;= DATE(2024,12,31)), $C$27 * $E$27 * $F$27, 0)</f>
        <v/>
      </c>
      <c r="BG27" s="16">
        <f>IF(AND($D$27 &gt;= DATE(2025,1,1), $D$27 &lt;= DATE(2025,3,31)), $C$27 * $E$27 * $F$27, 0)</f>
        <v/>
      </c>
      <c r="BH27" s="16">
        <f>IF(AND($D$27 &gt;= DATE(2025,4,1), $D$27 &lt;= DATE(2025,6,30)), $C$27 * $E$27 * $F$27, 0)</f>
        <v/>
      </c>
      <c r="BI27" s="16">
        <f>IF(AND($D$27 &gt;= DATE(2025,7,1), $D$27 &lt;= DATE(2025,9,30)), $C$27 * $E$27 * $F$27, 0)</f>
        <v/>
      </c>
      <c r="BJ27" s="16">
        <f>IF(AND($D$27 &gt;= DATE(2025,10,1), $D$27 &lt;= DATE(2025,12,31)), $C$27 * $E$27 * $F$27, 0)</f>
        <v/>
      </c>
      <c r="BK27" s="16">
        <f>IF(AND($D$27 &gt;= DATE(2026,1,1), $D$27 &lt;= DATE(2026,3,31)), $C$27 * $E$27 * $F$27, 0)</f>
        <v/>
      </c>
      <c r="BL27" s="16">
        <f>IF(AND($D$27 &gt;= DATE(2026,4,1), $D$27 &lt;= DATE(2026,6,30)), $C$27 * $E$27 * $F$27, 0)</f>
        <v/>
      </c>
      <c r="BM27" s="16">
        <f>IF(AND($D$27 &gt;= DATE(2026,7,1), $D$27 &lt;= DATE(2026,9,30)), $C$27 * $E$27 * $F$27, 0)</f>
        <v/>
      </c>
      <c r="BN27" s="16">
        <f>IF(AND($D$27 &gt;= DATE(2026,10,1), $D$27 &lt;= DATE(2026,12,31)), $C$27 * $E$27 * $F$27, 0)</f>
        <v/>
      </c>
      <c r="BO27" s="16">
        <f>IF(AND($D$27 &gt;= DATE(2027,1,1), $D$27 &lt;= DATE(2027,3,31)), $C$27 * $E$27 * $F$27, 0)</f>
        <v/>
      </c>
      <c r="BP27" s="16">
        <f>IF(AND($D$27 &gt;= DATE(2027,4,1), $D$27 &lt;= DATE(2027,6,30)), $C$27 * $E$27 * $F$27, 0)</f>
        <v/>
      </c>
      <c r="BQ27" s="16">
        <f>IF(AND($D$27 &gt;= DATE(2027,7,1), $D$27 &lt;= DATE(2027,9,30)), $C$27 * $E$27 * $F$27, 0)</f>
        <v/>
      </c>
      <c r="BR27" s="16">
        <f>IF(AND($D$27 &gt;= DATE(2027,10,1), $D$27 &lt;= DATE(2027,12,31)), $C$27 * $E$27 * $F$27, 0)</f>
        <v/>
      </c>
      <c r="BS27" s="16">
        <f>IF(AND($D$27 &gt;= DATE(2028,1,1), $D$27 &lt;= DATE(2028,3,31)), $C$27 * $E$27 * $F$27, 0)</f>
        <v/>
      </c>
      <c r="BT27" s="16">
        <f>IF(AND($D$27 &gt;= DATE(2028,4,1), $D$27 &lt;= DATE(2028,6,30)), $C$27 * $E$27 * $F$27, 0)</f>
        <v/>
      </c>
      <c r="BU27" s="16">
        <f>IF(AND($D$27 &gt;= DATE(2028,7,1), $D$27 &lt;= DATE(2028,9,30)), $C$27 * $E$27 * $F$27, 0)</f>
        <v/>
      </c>
      <c r="BV27" s="16">
        <f>IF(AND($D$27 &gt;= DATE(2028,10,1), $D$27 &lt;= DATE(2028,12,31)), $C$27 * $E$27 * $F$27, 0)</f>
        <v/>
      </c>
    </row>
    <row r="28">
      <c r="B28" t="inlineStr">
        <is>
          <t>Foundry &gt; Cartwright Instruments &gt; Sensor Module Development</t>
        </is>
      </c>
      <c r="C28" s="16" t="n">
        <v>27500</v>
      </c>
      <c r="D28" s="18" t="n">
        <v>46296</v>
      </c>
      <c r="E28" s="16" t="n">
        <v>3</v>
      </c>
      <c r="F28" s="19" t="n">
        <v>0.5</v>
      </c>
      <c r="G28" s="18" t="n">
        <v>46327</v>
      </c>
      <c r="H28" s="18" t="n">
        <v>46388</v>
      </c>
      <c r="I28" s="16">
        <f>$C$28 * $E$28</f>
        <v/>
      </c>
      <c r="J28" s="20">
        <f>$C$28 * $E$28 * $F$28</f>
        <v/>
      </c>
      <c r="K28" s="16">
        <f>IF(($G$28&lt;=DATE(2021,3,31))*($H$28&gt;=DATE(2021,1,1)),$C$28 * $F$28 * MAX(0, MIN((YEAR($H$28)*12+MONTH($H$28)), (YEAR(DATE(2021,3,31))*12+MONTH(DATE(2021,3,31)))) - MAX((YEAR($G$28)*12+MONTH($G$28)), (YEAR(DATE(2021,1,1))*12+MONTH(DATE(2021,1,1)))) + 1),0)</f>
        <v/>
      </c>
      <c r="L28" s="16">
        <f>IF(($G$28&lt;=DATE(2021,6,30))*($H$28&gt;=DATE(2021,4,1)),$C$28 * $F$28 * MAX(0, MIN((YEAR($H$28)*12+MONTH($H$28)), (YEAR(DATE(2021,6,30))*12+MONTH(DATE(2021,6,30)))) - MAX((YEAR($G$28)*12+MONTH($G$28)), (YEAR(DATE(2021,4,1))*12+MONTH(DATE(2021,4,1)))) + 1),0)</f>
        <v/>
      </c>
      <c r="M28" s="16">
        <f>IF(($G$28&lt;=DATE(2021,9,30))*($H$28&gt;=DATE(2021,7,1)),$C$28 * $F$28 * MAX(0, MIN((YEAR($H$28)*12+MONTH($H$28)), (YEAR(DATE(2021,9,30))*12+MONTH(DATE(2021,9,30)))) - MAX((YEAR($G$28)*12+MONTH($G$28)), (YEAR(DATE(2021,7,1))*12+MONTH(DATE(2021,7,1)))) + 1),0)</f>
        <v/>
      </c>
      <c r="N28" s="16">
        <f>IF(($G$28&lt;=DATE(2021,12,31))*($H$28&gt;=DATE(2021,10,1)),$C$28 * $F$28 * MAX(0, MIN((YEAR($H$28)*12+MONTH($H$28)), (YEAR(DATE(2021,12,31))*12+MONTH(DATE(2021,12,31)))) - MAX((YEAR($G$28)*12+MONTH($G$28)), (YEAR(DATE(2021,10,1))*12+MONTH(DATE(2021,10,1)))) + 1),0)</f>
        <v/>
      </c>
      <c r="O28" s="16">
        <f>IF(($G$28&lt;=DATE(2022,3,31))*($H$28&gt;=DATE(2022,1,1)),$C$28 * $F$28 * MAX(0, MIN((YEAR($H$28)*12+MONTH($H$28)), (YEAR(DATE(2022,3,31))*12+MONTH(DATE(2022,3,31)))) - MAX((YEAR($G$28)*12+MONTH($G$28)), (YEAR(DATE(2022,1,1))*12+MONTH(DATE(2022,1,1)))) + 1),0)</f>
        <v/>
      </c>
      <c r="P28" s="16">
        <f>IF(($G$28&lt;=DATE(2022,6,30))*($H$28&gt;=DATE(2022,4,1)),$C$28 * $F$28 * MAX(0, MIN((YEAR($H$28)*12+MONTH($H$28)), (YEAR(DATE(2022,6,30))*12+MONTH(DATE(2022,6,30)))) - MAX((YEAR($G$28)*12+MONTH($G$28)), (YEAR(DATE(2022,4,1))*12+MONTH(DATE(2022,4,1)))) + 1),0)</f>
        <v/>
      </c>
      <c r="Q28" s="16">
        <f>IF(($G$28&lt;=DATE(2022,9,30))*($H$28&gt;=DATE(2022,7,1)),$C$28 * $F$28 * MAX(0, MIN((YEAR($H$28)*12+MONTH($H$28)), (YEAR(DATE(2022,9,30))*12+MONTH(DATE(2022,9,30)))) - MAX((YEAR($G$28)*12+MONTH($G$28)), (YEAR(DATE(2022,7,1))*12+MONTH(DATE(2022,7,1)))) + 1),0)</f>
        <v/>
      </c>
      <c r="R28" s="16">
        <f>IF(($G$28&lt;=DATE(2022,12,31))*($H$28&gt;=DATE(2022,10,1)),$C$28 * $F$28 * MAX(0, MIN((YEAR($H$28)*12+MONTH($H$28)), (YEAR(DATE(2022,12,31))*12+MONTH(DATE(2022,12,31)))) - MAX((YEAR($G$28)*12+MONTH($G$28)), (YEAR(DATE(2022,10,1))*12+MONTH(DATE(2022,10,1)))) + 1),0)</f>
        <v/>
      </c>
      <c r="S28" s="16">
        <f>IF(($G$28&lt;=DATE(2023,3,31))*($H$28&gt;=DATE(2023,1,1)),$C$28 * $F$28 * MAX(0, MIN((YEAR($H$28)*12+MONTH($H$28)), (YEAR(DATE(2023,3,31))*12+MONTH(DATE(2023,3,31)))) - MAX((YEAR($G$28)*12+MONTH($G$28)), (YEAR(DATE(2023,1,1))*12+MONTH(DATE(2023,1,1)))) + 1),0)</f>
        <v/>
      </c>
      <c r="T28" s="16">
        <f>IF(($G$28&lt;=DATE(2023,6,30))*($H$28&gt;=DATE(2023,4,1)),$C$28 * $F$28 * MAX(0, MIN((YEAR($H$28)*12+MONTH($H$28)), (YEAR(DATE(2023,6,30))*12+MONTH(DATE(2023,6,30)))) - MAX((YEAR($G$28)*12+MONTH($G$28)), (YEAR(DATE(2023,4,1))*12+MONTH(DATE(2023,4,1)))) + 1),0)</f>
        <v/>
      </c>
      <c r="U28" s="16">
        <f>IF(($G$28&lt;=DATE(2023,9,30))*($H$28&gt;=DATE(2023,7,1)),$C$28 * $F$28 * MAX(0, MIN((YEAR($H$28)*12+MONTH($H$28)), (YEAR(DATE(2023,9,30))*12+MONTH(DATE(2023,9,30)))) - MAX((YEAR($G$28)*12+MONTH($G$28)), (YEAR(DATE(2023,7,1))*12+MONTH(DATE(2023,7,1)))) + 1),0)</f>
        <v/>
      </c>
      <c r="V28" s="16">
        <f>IF(($G$28&lt;=DATE(2023,12,31))*($H$28&gt;=DATE(2023,10,1)),$C$28 * $F$28 * MAX(0, MIN((YEAR($H$28)*12+MONTH($H$28)), (YEAR(DATE(2023,12,31))*12+MONTH(DATE(2023,12,31)))) - MAX((YEAR($G$28)*12+MONTH($G$28)), (YEAR(DATE(2023,10,1))*12+MONTH(DATE(2023,10,1)))) + 1),0)</f>
        <v/>
      </c>
      <c r="W28" s="16">
        <f>IF(($G$28&lt;=DATE(2024,3,31))*($H$28&gt;=DATE(2024,1,1)),$C$28 * $F$28 * MAX(0, MIN((YEAR($H$28)*12+MONTH($H$28)), (YEAR(DATE(2024,3,31))*12+MONTH(DATE(2024,3,31)))) - MAX((YEAR($G$28)*12+MONTH($G$28)), (YEAR(DATE(2024,1,1))*12+MONTH(DATE(2024,1,1)))) + 1),0)</f>
        <v/>
      </c>
      <c r="X28" s="16">
        <f>IF(($G$28&lt;=DATE(2024,6,30))*($H$28&gt;=DATE(2024,4,1)),$C$28 * $F$28 * MAX(0, MIN((YEAR($H$28)*12+MONTH($H$28)), (YEAR(DATE(2024,6,30))*12+MONTH(DATE(2024,6,30)))) - MAX((YEAR($G$28)*12+MONTH($G$28)), (YEAR(DATE(2024,4,1))*12+MONTH(DATE(2024,4,1)))) + 1),0)</f>
        <v/>
      </c>
      <c r="Y28" s="16">
        <f>IF(($G$28&lt;=DATE(2024,9,30))*($H$28&gt;=DATE(2024,7,1)),$C$28 * $F$28 * MAX(0, MIN((YEAR($H$28)*12+MONTH($H$28)), (YEAR(DATE(2024,9,30))*12+MONTH(DATE(2024,9,30)))) - MAX((YEAR($G$28)*12+MONTH($G$28)), (YEAR(DATE(2024,7,1))*12+MONTH(DATE(2024,7,1)))) + 1),0)</f>
        <v/>
      </c>
      <c r="Z28" s="16">
        <f>IF(($G$28&lt;=DATE(2024,12,31))*($H$28&gt;=DATE(2024,10,1)),$C$28 * $F$28 * MAX(0, MIN((YEAR($H$28)*12+MONTH($H$28)), (YEAR(DATE(2024,12,31))*12+MONTH(DATE(2024,12,31)))) - MAX((YEAR($G$28)*12+MONTH($G$28)), (YEAR(DATE(2024,10,1))*12+MONTH(DATE(2024,10,1)))) + 1),0)</f>
        <v/>
      </c>
      <c r="AA28" s="16">
        <f>IF(($G$28&lt;=DATE(2025,3,31))*($H$28&gt;=DATE(2025,1,1)),$C$28 * $F$28 * MAX(0, MIN((YEAR($H$28)*12+MONTH($H$28)), (YEAR(DATE(2025,3,31))*12+MONTH(DATE(2025,3,31)))) - MAX((YEAR($G$28)*12+MONTH($G$28)), (YEAR(DATE(2025,1,1))*12+MONTH(DATE(2025,1,1)))) + 1),0)</f>
        <v/>
      </c>
      <c r="AB28" s="16">
        <f>IF(($G$28&lt;=DATE(2025,6,30))*($H$28&gt;=DATE(2025,4,1)),$C$28 * $F$28 * MAX(0, MIN((YEAR($H$28)*12+MONTH($H$28)), (YEAR(DATE(2025,6,30))*12+MONTH(DATE(2025,6,30)))) - MAX((YEAR($G$28)*12+MONTH($G$28)), (YEAR(DATE(2025,4,1))*12+MONTH(DATE(2025,4,1)))) + 1),0)</f>
        <v/>
      </c>
      <c r="AC28" s="16">
        <f>IF(($G$28&lt;=DATE(2025,9,30))*($H$28&gt;=DATE(2025,7,1)),$C$28 * $F$28 * MAX(0, MIN((YEAR($H$28)*12+MONTH($H$28)), (YEAR(DATE(2025,9,30))*12+MONTH(DATE(2025,9,30)))) - MAX((YEAR($G$28)*12+MONTH($G$28)), (YEAR(DATE(2025,7,1))*12+MONTH(DATE(2025,7,1)))) + 1),0)</f>
        <v/>
      </c>
      <c r="AD28" s="16">
        <f>IF(($G$28&lt;=DATE(2025,12,31))*($H$28&gt;=DATE(2025,10,1)),$C$28 * $F$28 * MAX(0, MIN((YEAR($H$28)*12+MONTH($H$28)), (YEAR(DATE(2025,12,31))*12+MONTH(DATE(2025,12,31)))) - MAX((YEAR($G$28)*12+MONTH($G$28)), (YEAR(DATE(2025,10,1))*12+MONTH(DATE(2025,10,1)))) + 1),0)</f>
        <v/>
      </c>
      <c r="AE28" s="16">
        <f>IF(($G$28&lt;=DATE(2026,3,31))*($H$28&gt;=DATE(2026,1,1)),$C$28 * $F$28 * MAX(0, MIN((YEAR($H$28)*12+MONTH($H$28)), (YEAR(DATE(2026,3,31))*12+MONTH(DATE(2026,3,31)))) - MAX((YEAR($G$28)*12+MONTH($G$28)), (YEAR(DATE(2026,1,1))*12+MONTH(DATE(2026,1,1)))) + 1),0)</f>
        <v/>
      </c>
      <c r="AF28" s="16">
        <f>IF(($G$28&lt;=DATE(2026,6,30))*($H$28&gt;=DATE(2026,4,1)),$C$28 * $F$28 * MAX(0, MIN((YEAR($H$28)*12+MONTH($H$28)), (YEAR(DATE(2026,6,30))*12+MONTH(DATE(2026,6,30)))) - MAX((YEAR($G$28)*12+MONTH($G$28)), (YEAR(DATE(2026,4,1))*12+MONTH(DATE(2026,4,1)))) + 1),0)</f>
        <v/>
      </c>
      <c r="AG28" s="16">
        <f>IF(($G$28&lt;=DATE(2026,9,30))*($H$28&gt;=DATE(2026,7,1)),$C$28 * $F$28 * MAX(0, MIN((YEAR($H$28)*12+MONTH($H$28)), (YEAR(DATE(2026,9,30))*12+MONTH(DATE(2026,9,30)))) - MAX((YEAR($G$28)*12+MONTH($G$28)), (YEAR(DATE(2026,7,1))*12+MONTH(DATE(2026,7,1)))) + 1),0)</f>
        <v/>
      </c>
      <c r="AH28" s="16">
        <f>IF(($G$28&lt;=DATE(2026,12,31))*($H$28&gt;=DATE(2026,10,1)),$C$28 * $F$28 * MAX(0, MIN((YEAR($H$28)*12+MONTH($H$28)), (YEAR(DATE(2026,12,31))*12+MONTH(DATE(2026,12,31)))) - MAX((YEAR($G$28)*12+MONTH($G$28)), (YEAR(DATE(2026,10,1))*12+MONTH(DATE(2026,10,1)))) + 1),0)</f>
        <v/>
      </c>
      <c r="AI28" s="16">
        <f>IF(($G$28&lt;=DATE(2027,3,31))*($H$28&gt;=DATE(2027,1,1)),$C$28 * $F$28 * MAX(0, MIN((YEAR($H$28)*12+MONTH($H$28)), (YEAR(DATE(2027,3,31))*12+MONTH(DATE(2027,3,31)))) - MAX((YEAR($G$28)*12+MONTH($G$28)), (YEAR(DATE(2027,1,1))*12+MONTH(DATE(2027,1,1)))) + 1),0)</f>
        <v/>
      </c>
      <c r="AJ28" s="16">
        <f>IF(($G$28&lt;=DATE(2027,6,30))*($H$28&gt;=DATE(2027,4,1)),$C$28 * $F$28 * MAX(0, MIN((YEAR($H$28)*12+MONTH($H$28)), (YEAR(DATE(2027,6,30))*12+MONTH(DATE(2027,6,30)))) - MAX((YEAR($G$28)*12+MONTH($G$28)), (YEAR(DATE(2027,4,1))*12+MONTH(DATE(2027,4,1)))) + 1),0)</f>
        <v/>
      </c>
      <c r="AK28" s="16">
        <f>IF(($G$28&lt;=DATE(2027,9,30))*($H$28&gt;=DATE(2027,7,1)),$C$28 * $F$28 * MAX(0, MIN((YEAR($H$28)*12+MONTH($H$28)), (YEAR(DATE(2027,9,30))*12+MONTH(DATE(2027,9,30)))) - MAX((YEAR($G$28)*12+MONTH($G$28)), (YEAR(DATE(2027,7,1))*12+MONTH(DATE(2027,7,1)))) + 1),0)</f>
        <v/>
      </c>
      <c r="AL28" s="16">
        <f>IF(($G$28&lt;=DATE(2027,12,31))*($H$28&gt;=DATE(2027,10,1)),$C$28 * $F$28 * MAX(0, MIN((YEAR($H$28)*12+MONTH($H$28)), (YEAR(DATE(2027,12,31))*12+MONTH(DATE(2027,12,31)))) - MAX((YEAR($G$28)*12+MONTH($G$28)), (YEAR(DATE(2027,10,1))*12+MONTH(DATE(2027,10,1)))) + 1),0)</f>
        <v/>
      </c>
      <c r="AM28" s="16">
        <f>IF(($G$28&lt;=DATE(2028,3,31))*($H$28&gt;=DATE(2028,1,1)),$C$28 * $F$28 * MAX(0, MIN((YEAR($H$28)*12+MONTH($H$28)), (YEAR(DATE(2028,3,31))*12+MONTH(DATE(2028,3,31)))) - MAX((YEAR($G$28)*12+MONTH($G$28)), (YEAR(DATE(2028,1,1))*12+MONTH(DATE(2028,1,1)))) + 1),0)</f>
        <v/>
      </c>
      <c r="AN28" s="16">
        <f>IF(($G$28&lt;=DATE(2028,6,30))*($H$28&gt;=DATE(2028,4,1)),$C$28 * $F$28 * MAX(0, MIN((YEAR($H$28)*12+MONTH($H$28)), (YEAR(DATE(2028,6,30))*12+MONTH(DATE(2028,6,30)))) - MAX((YEAR($G$28)*12+MONTH($G$28)), (YEAR(DATE(2028,4,1))*12+MONTH(DATE(2028,4,1)))) + 1),0)</f>
        <v/>
      </c>
      <c r="AO28" s="16">
        <f>IF(($G$28&lt;=DATE(2028,9,30))*($H$28&gt;=DATE(2028,7,1)),$C$28 * $F$28 * MAX(0, MIN((YEAR($H$28)*12+MONTH($H$28)), (YEAR(DATE(2028,9,30))*12+MONTH(DATE(2028,9,30)))) - MAX((YEAR($G$28)*12+MONTH($G$28)), (YEAR(DATE(2028,7,1))*12+MONTH(DATE(2028,7,1)))) + 1),0)</f>
        <v/>
      </c>
      <c r="AP28" s="16">
        <f>IF(($G$28&lt;=DATE(2028,12,31))*($H$28&gt;=DATE(2028,10,1)),$C$28 * $F$28 * MAX(0, MIN((YEAR($H$28)*12+MONTH($H$28)), (YEAR(DATE(2028,12,31))*12+MONTH(DATE(2028,12,31)))) - MAX((YEAR($G$28)*12+MONTH($G$28)), (YEAR(DATE(2028,10,1))*12+MONTH(DATE(2028,10,1)))) + 1),0)</f>
        <v/>
      </c>
      <c r="AQ28" s="16">
        <f>IF(AND($D$28 &gt;= DATE(2021,1,1), $D$28 &lt;= DATE(2021,3,31)), $C$28 * $E$28 * $F$28, 0)</f>
        <v/>
      </c>
      <c r="AR28" s="16">
        <f>IF(AND($D$28 &gt;= DATE(2021,4,1), $D$28 &lt;= DATE(2021,6,30)), $C$28 * $E$28 * $F$28, 0)</f>
        <v/>
      </c>
      <c r="AS28" s="16">
        <f>IF(AND($D$28 &gt;= DATE(2021,7,1), $D$28 &lt;= DATE(2021,9,30)), $C$28 * $E$28 * $F$28, 0)</f>
        <v/>
      </c>
      <c r="AT28" s="16">
        <f>IF(AND($D$28 &gt;= DATE(2021,10,1), $D$28 &lt;= DATE(2021,12,31)), $C$28 * $E$28 * $F$28, 0)</f>
        <v/>
      </c>
      <c r="AU28" s="16">
        <f>IF(AND($D$28 &gt;= DATE(2022,1,1), $D$28 &lt;= DATE(2022,3,31)), $C$28 * $E$28 * $F$28, 0)</f>
        <v/>
      </c>
      <c r="AV28" s="16">
        <f>IF(AND($D$28 &gt;= DATE(2022,4,1), $D$28 &lt;= DATE(2022,6,30)), $C$28 * $E$28 * $F$28, 0)</f>
        <v/>
      </c>
      <c r="AW28" s="16">
        <f>IF(AND($D$28 &gt;= DATE(2022,7,1), $D$28 &lt;= DATE(2022,9,30)), $C$28 * $E$28 * $F$28, 0)</f>
        <v/>
      </c>
      <c r="AX28" s="16">
        <f>IF(AND($D$28 &gt;= DATE(2022,10,1), $D$28 &lt;= DATE(2022,12,31)), $C$28 * $E$28 * $F$28, 0)</f>
        <v/>
      </c>
      <c r="AY28" s="16">
        <f>IF(AND($D$28 &gt;= DATE(2023,1,1), $D$28 &lt;= DATE(2023,3,31)), $C$28 * $E$28 * $F$28, 0)</f>
        <v/>
      </c>
      <c r="AZ28" s="16">
        <f>IF(AND($D$28 &gt;= DATE(2023,4,1), $D$28 &lt;= DATE(2023,6,30)), $C$28 * $E$28 * $F$28, 0)</f>
        <v/>
      </c>
      <c r="BA28" s="16">
        <f>IF(AND($D$28 &gt;= DATE(2023,7,1), $D$28 &lt;= DATE(2023,9,30)), $C$28 * $E$28 * $F$28, 0)</f>
        <v/>
      </c>
      <c r="BB28" s="16">
        <f>IF(AND($D$28 &gt;= DATE(2023,10,1), $D$28 &lt;= DATE(2023,12,31)), $C$28 * $E$28 * $F$28, 0)</f>
        <v/>
      </c>
      <c r="BC28" s="16">
        <f>IF(AND($D$28 &gt;= DATE(2024,1,1), $D$28 &lt;= DATE(2024,3,31)), $C$28 * $E$28 * $F$28, 0)</f>
        <v/>
      </c>
      <c r="BD28" s="16">
        <f>IF(AND($D$28 &gt;= DATE(2024,4,1), $D$28 &lt;= DATE(2024,6,30)), $C$28 * $E$28 * $F$28, 0)</f>
        <v/>
      </c>
      <c r="BE28" s="16">
        <f>IF(AND($D$28 &gt;= DATE(2024,7,1), $D$28 &lt;= DATE(2024,9,30)), $C$28 * $E$28 * $F$28, 0)</f>
        <v/>
      </c>
      <c r="BF28" s="16">
        <f>IF(AND($D$28 &gt;= DATE(2024,10,1), $D$28 &lt;= DATE(2024,12,31)), $C$28 * $E$28 * $F$28, 0)</f>
        <v/>
      </c>
      <c r="BG28" s="16">
        <f>IF(AND($D$28 &gt;= DATE(2025,1,1), $D$28 &lt;= DATE(2025,3,31)), $C$28 * $E$28 * $F$28, 0)</f>
        <v/>
      </c>
      <c r="BH28" s="16">
        <f>IF(AND($D$28 &gt;= DATE(2025,4,1), $D$28 &lt;= DATE(2025,6,30)), $C$28 * $E$28 * $F$28, 0)</f>
        <v/>
      </c>
      <c r="BI28" s="16">
        <f>IF(AND($D$28 &gt;= DATE(2025,7,1), $D$28 &lt;= DATE(2025,9,30)), $C$28 * $E$28 * $F$28, 0)</f>
        <v/>
      </c>
      <c r="BJ28" s="16">
        <f>IF(AND($D$28 &gt;= DATE(2025,10,1), $D$28 &lt;= DATE(2025,12,31)), $C$28 * $E$28 * $F$28, 0)</f>
        <v/>
      </c>
      <c r="BK28" s="16">
        <f>IF(AND($D$28 &gt;= DATE(2026,1,1), $D$28 &lt;= DATE(2026,3,31)), $C$28 * $E$28 * $F$28, 0)</f>
        <v/>
      </c>
      <c r="BL28" s="16">
        <f>IF(AND($D$28 &gt;= DATE(2026,4,1), $D$28 &lt;= DATE(2026,6,30)), $C$28 * $E$28 * $F$28, 0)</f>
        <v/>
      </c>
      <c r="BM28" s="16">
        <f>IF(AND($D$28 &gt;= DATE(2026,7,1), $D$28 &lt;= DATE(2026,9,30)), $C$28 * $E$28 * $F$28, 0)</f>
        <v/>
      </c>
      <c r="BN28" s="16">
        <f>IF(AND($D$28 &gt;= DATE(2026,10,1), $D$28 &lt;= DATE(2026,12,31)), $C$28 * $E$28 * $F$28, 0)</f>
        <v/>
      </c>
      <c r="BO28" s="16">
        <f>IF(AND($D$28 &gt;= DATE(2027,1,1), $D$28 &lt;= DATE(2027,3,31)), $C$28 * $E$28 * $F$28, 0)</f>
        <v/>
      </c>
      <c r="BP28" s="16">
        <f>IF(AND($D$28 &gt;= DATE(2027,4,1), $D$28 &lt;= DATE(2027,6,30)), $C$28 * $E$28 * $F$28, 0)</f>
        <v/>
      </c>
      <c r="BQ28" s="16">
        <f>IF(AND($D$28 &gt;= DATE(2027,7,1), $D$28 &lt;= DATE(2027,9,30)), $C$28 * $E$28 * $F$28, 0)</f>
        <v/>
      </c>
      <c r="BR28" s="16">
        <f>IF(AND($D$28 &gt;= DATE(2027,10,1), $D$28 &lt;= DATE(2027,12,31)), $C$28 * $E$28 * $F$28, 0)</f>
        <v/>
      </c>
      <c r="BS28" s="16">
        <f>IF(AND($D$28 &gt;= DATE(2028,1,1), $D$28 &lt;= DATE(2028,3,31)), $C$28 * $E$28 * $F$28, 0)</f>
        <v/>
      </c>
      <c r="BT28" s="16">
        <f>IF(AND($D$28 &gt;= DATE(2028,4,1), $D$28 &lt;= DATE(2028,6,30)), $C$28 * $E$28 * $F$28, 0)</f>
        <v/>
      </c>
      <c r="BU28" s="16">
        <f>IF(AND($D$28 &gt;= DATE(2028,7,1), $D$28 &lt;= DATE(2028,9,30)), $C$28 * $E$28 * $F$28, 0)</f>
        <v/>
      </c>
      <c r="BV28" s="16">
        <f>IF(AND($D$28 &gt;= DATE(2028,10,1), $D$28 &lt;= DATE(2028,12,31)), $C$28 * $E$28 * $F$28, 0)</f>
        <v/>
      </c>
    </row>
    <row r="29">
      <c r="B29" t="inlineStr">
        <is>
          <t>Westgate &gt; Cordial Logistics &gt; Imaging Hardware Development</t>
        </is>
      </c>
      <c r="C29" s="16" t="n">
        <v>120000</v>
      </c>
      <c r="D29" s="18" t="n">
        <v>46296</v>
      </c>
      <c r="E29" s="16" t="n">
        <v>5</v>
      </c>
      <c r="F29" s="19" t="n">
        <v>0.9</v>
      </c>
      <c r="G29" s="18" t="n">
        <v>46327</v>
      </c>
      <c r="H29" s="18" t="n">
        <v>46447</v>
      </c>
      <c r="I29" s="16">
        <f>$C$29 * $E$29</f>
        <v/>
      </c>
      <c r="J29" s="20">
        <f>$C$29 * $E$29 * $F$29</f>
        <v/>
      </c>
      <c r="K29" s="16">
        <f>IF(($G$29&lt;=DATE(2021,3,31))*($H$29&gt;=DATE(2021,1,1)),$C$29 * $F$29 * MAX(0, MIN((YEAR($H$29)*12+MONTH($H$29)), (YEAR(DATE(2021,3,31))*12+MONTH(DATE(2021,3,31)))) - MAX((YEAR($G$29)*12+MONTH($G$29)), (YEAR(DATE(2021,1,1))*12+MONTH(DATE(2021,1,1)))) + 1),0)</f>
        <v/>
      </c>
      <c r="L29" s="16">
        <f>IF(($G$29&lt;=DATE(2021,6,30))*($H$29&gt;=DATE(2021,4,1)),$C$29 * $F$29 * MAX(0, MIN((YEAR($H$29)*12+MONTH($H$29)), (YEAR(DATE(2021,6,30))*12+MONTH(DATE(2021,6,30)))) - MAX((YEAR($G$29)*12+MONTH($G$29)), (YEAR(DATE(2021,4,1))*12+MONTH(DATE(2021,4,1)))) + 1),0)</f>
        <v/>
      </c>
      <c r="M29" s="16">
        <f>IF(($G$29&lt;=DATE(2021,9,30))*($H$29&gt;=DATE(2021,7,1)),$C$29 * $F$29 * MAX(0, MIN((YEAR($H$29)*12+MONTH($H$29)), (YEAR(DATE(2021,9,30))*12+MONTH(DATE(2021,9,30)))) - MAX((YEAR($G$29)*12+MONTH($G$29)), (YEAR(DATE(2021,7,1))*12+MONTH(DATE(2021,7,1)))) + 1),0)</f>
        <v/>
      </c>
      <c r="N29" s="16">
        <f>IF(($G$29&lt;=DATE(2021,12,31))*($H$29&gt;=DATE(2021,10,1)),$C$29 * $F$29 * MAX(0, MIN((YEAR($H$29)*12+MONTH($H$29)), (YEAR(DATE(2021,12,31))*12+MONTH(DATE(2021,12,31)))) - MAX((YEAR($G$29)*12+MONTH($G$29)), (YEAR(DATE(2021,10,1))*12+MONTH(DATE(2021,10,1)))) + 1),0)</f>
        <v/>
      </c>
      <c r="O29" s="16">
        <f>IF(($G$29&lt;=DATE(2022,3,31))*($H$29&gt;=DATE(2022,1,1)),$C$29 * $F$29 * MAX(0, MIN((YEAR($H$29)*12+MONTH($H$29)), (YEAR(DATE(2022,3,31))*12+MONTH(DATE(2022,3,31)))) - MAX((YEAR($G$29)*12+MONTH($G$29)), (YEAR(DATE(2022,1,1))*12+MONTH(DATE(2022,1,1)))) + 1),0)</f>
        <v/>
      </c>
      <c r="P29" s="16">
        <f>IF(($G$29&lt;=DATE(2022,6,30))*($H$29&gt;=DATE(2022,4,1)),$C$29 * $F$29 * MAX(0, MIN((YEAR($H$29)*12+MONTH($H$29)), (YEAR(DATE(2022,6,30))*12+MONTH(DATE(2022,6,30)))) - MAX((YEAR($G$29)*12+MONTH($G$29)), (YEAR(DATE(2022,4,1))*12+MONTH(DATE(2022,4,1)))) + 1),0)</f>
        <v/>
      </c>
      <c r="Q29" s="16">
        <f>IF(($G$29&lt;=DATE(2022,9,30))*($H$29&gt;=DATE(2022,7,1)),$C$29 * $F$29 * MAX(0, MIN((YEAR($H$29)*12+MONTH($H$29)), (YEAR(DATE(2022,9,30))*12+MONTH(DATE(2022,9,30)))) - MAX((YEAR($G$29)*12+MONTH($G$29)), (YEAR(DATE(2022,7,1))*12+MONTH(DATE(2022,7,1)))) + 1),0)</f>
        <v/>
      </c>
      <c r="R29" s="16">
        <f>IF(($G$29&lt;=DATE(2022,12,31))*($H$29&gt;=DATE(2022,10,1)),$C$29 * $F$29 * MAX(0, MIN((YEAR($H$29)*12+MONTH($H$29)), (YEAR(DATE(2022,12,31))*12+MONTH(DATE(2022,12,31)))) - MAX((YEAR($G$29)*12+MONTH($G$29)), (YEAR(DATE(2022,10,1))*12+MONTH(DATE(2022,10,1)))) + 1),0)</f>
        <v/>
      </c>
      <c r="S29" s="16">
        <f>IF(($G$29&lt;=DATE(2023,3,31))*($H$29&gt;=DATE(2023,1,1)),$C$29 * $F$29 * MAX(0, MIN((YEAR($H$29)*12+MONTH($H$29)), (YEAR(DATE(2023,3,31))*12+MONTH(DATE(2023,3,31)))) - MAX((YEAR($G$29)*12+MONTH($G$29)), (YEAR(DATE(2023,1,1))*12+MONTH(DATE(2023,1,1)))) + 1),0)</f>
        <v/>
      </c>
      <c r="T29" s="16">
        <f>IF(($G$29&lt;=DATE(2023,6,30))*($H$29&gt;=DATE(2023,4,1)),$C$29 * $F$29 * MAX(0, MIN((YEAR($H$29)*12+MONTH($H$29)), (YEAR(DATE(2023,6,30))*12+MONTH(DATE(2023,6,30)))) - MAX((YEAR($G$29)*12+MONTH($G$29)), (YEAR(DATE(2023,4,1))*12+MONTH(DATE(2023,4,1)))) + 1),0)</f>
        <v/>
      </c>
      <c r="U29" s="16">
        <f>IF(($G$29&lt;=DATE(2023,9,30))*($H$29&gt;=DATE(2023,7,1)),$C$29 * $F$29 * MAX(0, MIN((YEAR($H$29)*12+MONTH($H$29)), (YEAR(DATE(2023,9,30))*12+MONTH(DATE(2023,9,30)))) - MAX((YEAR($G$29)*12+MONTH($G$29)), (YEAR(DATE(2023,7,1))*12+MONTH(DATE(2023,7,1)))) + 1),0)</f>
        <v/>
      </c>
      <c r="V29" s="16">
        <f>IF(($G$29&lt;=DATE(2023,12,31))*($H$29&gt;=DATE(2023,10,1)),$C$29 * $F$29 * MAX(0, MIN((YEAR($H$29)*12+MONTH($H$29)), (YEAR(DATE(2023,12,31))*12+MONTH(DATE(2023,12,31)))) - MAX((YEAR($G$29)*12+MONTH($G$29)), (YEAR(DATE(2023,10,1))*12+MONTH(DATE(2023,10,1)))) + 1),0)</f>
        <v/>
      </c>
      <c r="W29" s="16">
        <f>IF(($G$29&lt;=DATE(2024,3,31))*($H$29&gt;=DATE(2024,1,1)),$C$29 * $F$29 * MAX(0, MIN((YEAR($H$29)*12+MONTH($H$29)), (YEAR(DATE(2024,3,31))*12+MONTH(DATE(2024,3,31)))) - MAX((YEAR($G$29)*12+MONTH($G$29)), (YEAR(DATE(2024,1,1))*12+MONTH(DATE(2024,1,1)))) + 1),0)</f>
        <v/>
      </c>
      <c r="X29" s="16">
        <f>IF(($G$29&lt;=DATE(2024,6,30))*($H$29&gt;=DATE(2024,4,1)),$C$29 * $F$29 * MAX(0, MIN((YEAR($H$29)*12+MONTH($H$29)), (YEAR(DATE(2024,6,30))*12+MONTH(DATE(2024,6,30)))) - MAX((YEAR($G$29)*12+MONTH($G$29)), (YEAR(DATE(2024,4,1))*12+MONTH(DATE(2024,4,1)))) + 1),0)</f>
        <v/>
      </c>
      <c r="Y29" s="16">
        <f>IF(($G$29&lt;=DATE(2024,9,30))*($H$29&gt;=DATE(2024,7,1)),$C$29 * $F$29 * MAX(0, MIN((YEAR($H$29)*12+MONTH($H$29)), (YEAR(DATE(2024,9,30))*12+MONTH(DATE(2024,9,30)))) - MAX((YEAR($G$29)*12+MONTH($G$29)), (YEAR(DATE(2024,7,1))*12+MONTH(DATE(2024,7,1)))) + 1),0)</f>
        <v/>
      </c>
      <c r="Z29" s="16">
        <f>IF(($G$29&lt;=DATE(2024,12,31))*($H$29&gt;=DATE(2024,10,1)),$C$29 * $F$29 * MAX(0, MIN((YEAR($H$29)*12+MONTH($H$29)), (YEAR(DATE(2024,12,31))*12+MONTH(DATE(2024,12,31)))) - MAX((YEAR($G$29)*12+MONTH($G$29)), (YEAR(DATE(2024,10,1))*12+MONTH(DATE(2024,10,1)))) + 1),0)</f>
        <v/>
      </c>
      <c r="AA29" s="16">
        <f>IF(($G$29&lt;=DATE(2025,3,31))*($H$29&gt;=DATE(2025,1,1)),$C$29 * $F$29 * MAX(0, MIN((YEAR($H$29)*12+MONTH($H$29)), (YEAR(DATE(2025,3,31))*12+MONTH(DATE(2025,3,31)))) - MAX((YEAR($G$29)*12+MONTH($G$29)), (YEAR(DATE(2025,1,1))*12+MONTH(DATE(2025,1,1)))) + 1),0)</f>
        <v/>
      </c>
      <c r="AB29" s="16">
        <f>IF(($G$29&lt;=DATE(2025,6,30))*($H$29&gt;=DATE(2025,4,1)),$C$29 * $F$29 * MAX(0, MIN((YEAR($H$29)*12+MONTH($H$29)), (YEAR(DATE(2025,6,30))*12+MONTH(DATE(2025,6,30)))) - MAX((YEAR($G$29)*12+MONTH($G$29)), (YEAR(DATE(2025,4,1))*12+MONTH(DATE(2025,4,1)))) + 1),0)</f>
        <v/>
      </c>
      <c r="AC29" s="16">
        <f>IF(($G$29&lt;=DATE(2025,9,30))*($H$29&gt;=DATE(2025,7,1)),$C$29 * $F$29 * MAX(0, MIN((YEAR($H$29)*12+MONTH($H$29)), (YEAR(DATE(2025,9,30))*12+MONTH(DATE(2025,9,30)))) - MAX((YEAR($G$29)*12+MONTH($G$29)), (YEAR(DATE(2025,7,1))*12+MONTH(DATE(2025,7,1)))) + 1),0)</f>
        <v/>
      </c>
      <c r="AD29" s="16">
        <f>IF(($G$29&lt;=DATE(2025,12,31))*($H$29&gt;=DATE(2025,10,1)),$C$29 * $F$29 * MAX(0, MIN((YEAR($H$29)*12+MONTH($H$29)), (YEAR(DATE(2025,12,31))*12+MONTH(DATE(2025,12,31)))) - MAX((YEAR($G$29)*12+MONTH($G$29)), (YEAR(DATE(2025,10,1))*12+MONTH(DATE(2025,10,1)))) + 1),0)</f>
        <v/>
      </c>
      <c r="AE29" s="16">
        <f>IF(($G$29&lt;=DATE(2026,3,31))*($H$29&gt;=DATE(2026,1,1)),$C$29 * $F$29 * MAX(0, MIN((YEAR($H$29)*12+MONTH($H$29)), (YEAR(DATE(2026,3,31))*12+MONTH(DATE(2026,3,31)))) - MAX((YEAR($G$29)*12+MONTH($G$29)), (YEAR(DATE(2026,1,1))*12+MONTH(DATE(2026,1,1)))) + 1),0)</f>
        <v/>
      </c>
      <c r="AF29" s="16">
        <f>IF(($G$29&lt;=DATE(2026,6,30))*($H$29&gt;=DATE(2026,4,1)),$C$29 * $F$29 * MAX(0, MIN((YEAR($H$29)*12+MONTH($H$29)), (YEAR(DATE(2026,6,30))*12+MONTH(DATE(2026,6,30)))) - MAX((YEAR($G$29)*12+MONTH($G$29)), (YEAR(DATE(2026,4,1))*12+MONTH(DATE(2026,4,1)))) + 1),0)</f>
        <v/>
      </c>
      <c r="AG29" s="16">
        <f>IF(($G$29&lt;=DATE(2026,9,30))*($H$29&gt;=DATE(2026,7,1)),$C$29 * $F$29 * MAX(0, MIN((YEAR($H$29)*12+MONTH($H$29)), (YEAR(DATE(2026,9,30))*12+MONTH(DATE(2026,9,30)))) - MAX((YEAR($G$29)*12+MONTH($G$29)), (YEAR(DATE(2026,7,1))*12+MONTH(DATE(2026,7,1)))) + 1),0)</f>
        <v/>
      </c>
      <c r="AH29" s="16">
        <f>IF(($G$29&lt;=DATE(2026,12,31))*($H$29&gt;=DATE(2026,10,1)),$C$29 * $F$29 * MAX(0, MIN((YEAR($H$29)*12+MONTH($H$29)), (YEAR(DATE(2026,12,31))*12+MONTH(DATE(2026,12,31)))) - MAX((YEAR($G$29)*12+MONTH($G$29)), (YEAR(DATE(2026,10,1))*12+MONTH(DATE(2026,10,1)))) + 1),0)</f>
        <v/>
      </c>
      <c r="AI29" s="16">
        <f>IF(($G$29&lt;=DATE(2027,3,31))*($H$29&gt;=DATE(2027,1,1)),$C$29 * $F$29 * MAX(0, MIN((YEAR($H$29)*12+MONTH($H$29)), (YEAR(DATE(2027,3,31))*12+MONTH(DATE(2027,3,31)))) - MAX((YEAR($G$29)*12+MONTH($G$29)), (YEAR(DATE(2027,1,1))*12+MONTH(DATE(2027,1,1)))) + 1),0)</f>
        <v/>
      </c>
      <c r="AJ29" s="16">
        <f>IF(($G$29&lt;=DATE(2027,6,30))*($H$29&gt;=DATE(2027,4,1)),$C$29 * $F$29 * MAX(0, MIN((YEAR($H$29)*12+MONTH($H$29)), (YEAR(DATE(2027,6,30))*12+MONTH(DATE(2027,6,30)))) - MAX((YEAR($G$29)*12+MONTH($G$29)), (YEAR(DATE(2027,4,1))*12+MONTH(DATE(2027,4,1)))) + 1),0)</f>
        <v/>
      </c>
      <c r="AK29" s="16">
        <f>IF(($G$29&lt;=DATE(2027,9,30))*($H$29&gt;=DATE(2027,7,1)),$C$29 * $F$29 * MAX(0, MIN((YEAR($H$29)*12+MONTH($H$29)), (YEAR(DATE(2027,9,30))*12+MONTH(DATE(2027,9,30)))) - MAX((YEAR($G$29)*12+MONTH($G$29)), (YEAR(DATE(2027,7,1))*12+MONTH(DATE(2027,7,1)))) + 1),0)</f>
        <v/>
      </c>
      <c r="AL29" s="16">
        <f>IF(($G$29&lt;=DATE(2027,12,31))*($H$29&gt;=DATE(2027,10,1)),$C$29 * $F$29 * MAX(0, MIN((YEAR($H$29)*12+MONTH($H$29)), (YEAR(DATE(2027,12,31))*12+MONTH(DATE(2027,12,31)))) - MAX((YEAR($G$29)*12+MONTH($G$29)), (YEAR(DATE(2027,10,1))*12+MONTH(DATE(2027,10,1)))) + 1),0)</f>
        <v/>
      </c>
      <c r="AM29" s="16">
        <f>IF(($G$29&lt;=DATE(2028,3,31))*($H$29&gt;=DATE(2028,1,1)),$C$29 * $F$29 * MAX(0, MIN((YEAR($H$29)*12+MONTH($H$29)), (YEAR(DATE(2028,3,31))*12+MONTH(DATE(2028,3,31)))) - MAX((YEAR($G$29)*12+MONTH($G$29)), (YEAR(DATE(2028,1,1))*12+MONTH(DATE(2028,1,1)))) + 1),0)</f>
        <v/>
      </c>
      <c r="AN29" s="16">
        <f>IF(($G$29&lt;=DATE(2028,6,30))*($H$29&gt;=DATE(2028,4,1)),$C$29 * $F$29 * MAX(0, MIN((YEAR($H$29)*12+MONTH($H$29)), (YEAR(DATE(2028,6,30))*12+MONTH(DATE(2028,6,30)))) - MAX((YEAR($G$29)*12+MONTH($G$29)), (YEAR(DATE(2028,4,1))*12+MONTH(DATE(2028,4,1)))) + 1),0)</f>
        <v/>
      </c>
      <c r="AO29" s="16">
        <f>IF(($G$29&lt;=DATE(2028,9,30))*($H$29&gt;=DATE(2028,7,1)),$C$29 * $F$29 * MAX(0, MIN((YEAR($H$29)*12+MONTH($H$29)), (YEAR(DATE(2028,9,30))*12+MONTH(DATE(2028,9,30)))) - MAX((YEAR($G$29)*12+MONTH($G$29)), (YEAR(DATE(2028,7,1))*12+MONTH(DATE(2028,7,1)))) + 1),0)</f>
        <v/>
      </c>
      <c r="AP29" s="16">
        <f>IF(($G$29&lt;=DATE(2028,12,31))*($H$29&gt;=DATE(2028,10,1)),$C$29 * $F$29 * MAX(0, MIN((YEAR($H$29)*12+MONTH($H$29)), (YEAR(DATE(2028,12,31))*12+MONTH(DATE(2028,12,31)))) - MAX((YEAR($G$29)*12+MONTH($G$29)), (YEAR(DATE(2028,10,1))*12+MONTH(DATE(2028,10,1)))) + 1),0)</f>
        <v/>
      </c>
      <c r="AQ29" s="16">
        <f>IF(AND($D$29 &gt;= DATE(2021,1,1), $D$29 &lt;= DATE(2021,3,31)), $C$29 * $E$29 * $F$29, 0)</f>
        <v/>
      </c>
      <c r="AR29" s="16">
        <f>IF(AND($D$29 &gt;= DATE(2021,4,1), $D$29 &lt;= DATE(2021,6,30)), $C$29 * $E$29 * $F$29, 0)</f>
        <v/>
      </c>
      <c r="AS29" s="16">
        <f>IF(AND($D$29 &gt;= DATE(2021,7,1), $D$29 &lt;= DATE(2021,9,30)), $C$29 * $E$29 * $F$29, 0)</f>
        <v/>
      </c>
      <c r="AT29" s="16">
        <f>IF(AND($D$29 &gt;= DATE(2021,10,1), $D$29 &lt;= DATE(2021,12,31)), $C$29 * $E$29 * $F$29, 0)</f>
        <v/>
      </c>
      <c r="AU29" s="16">
        <f>IF(AND($D$29 &gt;= DATE(2022,1,1), $D$29 &lt;= DATE(2022,3,31)), $C$29 * $E$29 * $F$29, 0)</f>
        <v/>
      </c>
      <c r="AV29" s="16">
        <f>IF(AND($D$29 &gt;= DATE(2022,4,1), $D$29 &lt;= DATE(2022,6,30)), $C$29 * $E$29 * $F$29, 0)</f>
        <v/>
      </c>
      <c r="AW29" s="16">
        <f>IF(AND($D$29 &gt;= DATE(2022,7,1), $D$29 &lt;= DATE(2022,9,30)), $C$29 * $E$29 * $F$29, 0)</f>
        <v/>
      </c>
      <c r="AX29" s="16">
        <f>IF(AND($D$29 &gt;= DATE(2022,10,1), $D$29 &lt;= DATE(2022,12,31)), $C$29 * $E$29 * $F$29, 0)</f>
        <v/>
      </c>
      <c r="AY29" s="16">
        <f>IF(AND($D$29 &gt;= DATE(2023,1,1), $D$29 &lt;= DATE(2023,3,31)), $C$29 * $E$29 * $F$29, 0)</f>
        <v/>
      </c>
      <c r="AZ29" s="16">
        <f>IF(AND($D$29 &gt;= DATE(2023,4,1), $D$29 &lt;= DATE(2023,6,30)), $C$29 * $E$29 * $F$29, 0)</f>
        <v/>
      </c>
      <c r="BA29" s="16">
        <f>IF(AND($D$29 &gt;= DATE(2023,7,1), $D$29 &lt;= DATE(2023,9,30)), $C$29 * $E$29 * $F$29, 0)</f>
        <v/>
      </c>
      <c r="BB29" s="16">
        <f>IF(AND($D$29 &gt;= DATE(2023,10,1), $D$29 &lt;= DATE(2023,12,31)), $C$29 * $E$29 * $F$29, 0)</f>
        <v/>
      </c>
      <c r="BC29" s="16">
        <f>IF(AND($D$29 &gt;= DATE(2024,1,1), $D$29 &lt;= DATE(2024,3,31)), $C$29 * $E$29 * $F$29, 0)</f>
        <v/>
      </c>
      <c r="BD29" s="16">
        <f>IF(AND($D$29 &gt;= DATE(2024,4,1), $D$29 &lt;= DATE(2024,6,30)), $C$29 * $E$29 * $F$29, 0)</f>
        <v/>
      </c>
      <c r="BE29" s="16">
        <f>IF(AND($D$29 &gt;= DATE(2024,7,1), $D$29 &lt;= DATE(2024,9,30)), $C$29 * $E$29 * $F$29, 0)</f>
        <v/>
      </c>
      <c r="BF29" s="16">
        <f>IF(AND($D$29 &gt;= DATE(2024,10,1), $D$29 &lt;= DATE(2024,12,31)), $C$29 * $E$29 * $F$29, 0)</f>
        <v/>
      </c>
      <c r="BG29" s="16">
        <f>IF(AND($D$29 &gt;= DATE(2025,1,1), $D$29 &lt;= DATE(2025,3,31)), $C$29 * $E$29 * $F$29, 0)</f>
        <v/>
      </c>
      <c r="BH29" s="16">
        <f>IF(AND($D$29 &gt;= DATE(2025,4,1), $D$29 &lt;= DATE(2025,6,30)), $C$29 * $E$29 * $F$29, 0)</f>
        <v/>
      </c>
      <c r="BI29" s="16">
        <f>IF(AND($D$29 &gt;= DATE(2025,7,1), $D$29 &lt;= DATE(2025,9,30)), $C$29 * $E$29 * $F$29, 0)</f>
        <v/>
      </c>
      <c r="BJ29" s="16">
        <f>IF(AND($D$29 &gt;= DATE(2025,10,1), $D$29 &lt;= DATE(2025,12,31)), $C$29 * $E$29 * $F$29, 0)</f>
        <v/>
      </c>
      <c r="BK29" s="16">
        <f>IF(AND($D$29 &gt;= DATE(2026,1,1), $D$29 &lt;= DATE(2026,3,31)), $C$29 * $E$29 * $F$29, 0)</f>
        <v/>
      </c>
      <c r="BL29" s="16">
        <f>IF(AND($D$29 &gt;= DATE(2026,4,1), $D$29 &lt;= DATE(2026,6,30)), $C$29 * $E$29 * $F$29, 0)</f>
        <v/>
      </c>
      <c r="BM29" s="16">
        <f>IF(AND($D$29 &gt;= DATE(2026,7,1), $D$29 &lt;= DATE(2026,9,30)), $C$29 * $E$29 * $F$29, 0)</f>
        <v/>
      </c>
      <c r="BN29" s="16">
        <f>IF(AND($D$29 &gt;= DATE(2026,10,1), $D$29 &lt;= DATE(2026,12,31)), $C$29 * $E$29 * $F$29, 0)</f>
        <v/>
      </c>
      <c r="BO29" s="16">
        <f>IF(AND($D$29 &gt;= DATE(2027,1,1), $D$29 &lt;= DATE(2027,3,31)), $C$29 * $E$29 * $F$29, 0)</f>
        <v/>
      </c>
      <c r="BP29" s="16">
        <f>IF(AND($D$29 &gt;= DATE(2027,4,1), $D$29 &lt;= DATE(2027,6,30)), $C$29 * $E$29 * $F$29, 0)</f>
        <v/>
      </c>
      <c r="BQ29" s="16">
        <f>IF(AND($D$29 &gt;= DATE(2027,7,1), $D$29 &lt;= DATE(2027,9,30)), $C$29 * $E$29 * $F$29, 0)</f>
        <v/>
      </c>
      <c r="BR29" s="16">
        <f>IF(AND($D$29 &gt;= DATE(2027,10,1), $D$29 &lt;= DATE(2027,12,31)), $C$29 * $E$29 * $F$29, 0)</f>
        <v/>
      </c>
      <c r="BS29" s="16">
        <f>IF(AND($D$29 &gt;= DATE(2028,1,1), $D$29 &lt;= DATE(2028,3,31)), $C$29 * $E$29 * $F$29, 0)</f>
        <v/>
      </c>
      <c r="BT29" s="16">
        <f>IF(AND($D$29 &gt;= DATE(2028,4,1), $D$29 &lt;= DATE(2028,6,30)), $C$29 * $E$29 * $F$29, 0)</f>
        <v/>
      </c>
      <c r="BU29" s="16">
        <f>IF(AND($D$29 &gt;= DATE(2028,7,1), $D$29 &lt;= DATE(2028,9,30)), $C$29 * $E$29 * $F$29, 0)</f>
        <v/>
      </c>
      <c r="BV29" s="16">
        <f>IF(AND($D$29 &gt;= DATE(2028,10,1), $D$29 &lt;= DATE(2028,12,31)), $C$29 * $E$29 * $F$29, 0)</f>
        <v/>
      </c>
    </row>
    <row r="30">
      <c r="B30" t="inlineStr">
        <is>
          <t>Westgate &gt; Pinnacle Foods &gt; End-of-Line Integration</t>
        </is>
      </c>
      <c r="C30" s="16" t="n">
        <v>30000</v>
      </c>
      <c r="D30" s="18" t="n">
        <v>46327</v>
      </c>
      <c r="E30" s="16" t="n">
        <v>2</v>
      </c>
      <c r="F30" s="19" t="n">
        <v>0.1</v>
      </c>
      <c r="G30" s="18" t="n">
        <v>46357</v>
      </c>
      <c r="H30" s="18" t="n">
        <v>46388</v>
      </c>
      <c r="I30" s="16">
        <f>$C$30 * $E$30</f>
        <v/>
      </c>
      <c r="J30" s="20">
        <f>$C$30 * $E$30 * $F$30</f>
        <v/>
      </c>
      <c r="K30" s="16">
        <f>IF(($G$30&lt;=DATE(2021,3,31))*($H$30&gt;=DATE(2021,1,1)),$C$30 * $F$30 * MAX(0, MIN((YEAR($H$30)*12+MONTH($H$30)), (YEAR(DATE(2021,3,31))*12+MONTH(DATE(2021,3,31)))) - MAX((YEAR($G$30)*12+MONTH($G$30)), (YEAR(DATE(2021,1,1))*12+MONTH(DATE(2021,1,1)))) + 1),0)</f>
        <v/>
      </c>
      <c r="L30" s="16">
        <f>IF(($G$30&lt;=DATE(2021,6,30))*($H$30&gt;=DATE(2021,4,1)),$C$30 * $F$30 * MAX(0, MIN((YEAR($H$30)*12+MONTH($H$30)), (YEAR(DATE(2021,6,30))*12+MONTH(DATE(2021,6,30)))) - MAX((YEAR($G$30)*12+MONTH($G$30)), (YEAR(DATE(2021,4,1))*12+MONTH(DATE(2021,4,1)))) + 1),0)</f>
        <v/>
      </c>
      <c r="M30" s="16">
        <f>IF(($G$30&lt;=DATE(2021,9,30))*($H$30&gt;=DATE(2021,7,1)),$C$30 * $F$30 * MAX(0, MIN((YEAR($H$30)*12+MONTH($H$30)), (YEAR(DATE(2021,9,30))*12+MONTH(DATE(2021,9,30)))) - MAX((YEAR($G$30)*12+MONTH($G$30)), (YEAR(DATE(2021,7,1))*12+MONTH(DATE(2021,7,1)))) + 1),0)</f>
        <v/>
      </c>
      <c r="N30" s="16">
        <f>IF(($G$30&lt;=DATE(2021,12,31))*($H$30&gt;=DATE(2021,10,1)),$C$30 * $F$30 * MAX(0, MIN((YEAR($H$30)*12+MONTH($H$30)), (YEAR(DATE(2021,12,31))*12+MONTH(DATE(2021,12,31)))) - MAX((YEAR($G$30)*12+MONTH($G$30)), (YEAR(DATE(2021,10,1))*12+MONTH(DATE(2021,10,1)))) + 1),0)</f>
        <v/>
      </c>
      <c r="O30" s="16">
        <f>IF(($G$30&lt;=DATE(2022,3,31))*($H$30&gt;=DATE(2022,1,1)),$C$30 * $F$30 * MAX(0, MIN((YEAR($H$30)*12+MONTH($H$30)), (YEAR(DATE(2022,3,31))*12+MONTH(DATE(2022,3,31)))) - MAX((YEAR($G$30)*12+MONTH($G$30)), (YEAR(DATE(2022,1,1))*12+MONTH(DATE(2022,1,1)))) + 1),0)</f>
        <v/>
      </c>
      <c r="P30" s="16">
        <f>IF(($G$30&lt;=DATE(2022,6,30))*($H$30&gt;=DATE(2022,4,1)),$C$30 * $F$30 * MAX(0, MIN((YEAR($H$30)*12+MONTH($H$30)), (YEAR(DATE(2022,6,30))*12+MONTH(DATE(2022,6,30)))) - MAX((YEAR($G$30)*12+MONTH($G$30)), (YEAR(DATE(2022,4,1))*12+MONTH(DATE(2022,4,1)))) + 1),0)</f>
        <v/>
      </c>
      <c r="Q30" s="16">
        <f>IF(($G$30&lt;=DATE(2022,9,30))*($H$30&gt;=DATE(2022,7,1)),$C$30 * $F$30 * MAX(0, MIN((YEAR($H$30)*12+MONTH($H$30)), (YEAR(DATE(2022,9,30))*12+MONTH(DATE(2022,9,30)))) - MAX((YEAR($G$30)*12+MONTH($G$30)), (YEAR(DATE(2022,7,1))*12+MONTH(DATE(2022,7,1)))) + 1),0)</f>
        <v/>
      </c>
      <c r="R30" s="16">
        <f>IF(($G$30&lt;=DATE(2022,12,31))*($H$30&gt;=DATE(2022,10,1)),$C$30 * $F$30 * MAX(0, MIN((YEAR($H$30)*12+MONTH($H$30)), (YEAR(DATE(2022,12,31))*12+MONTH(DATE(2022,12,31)))) - MAX((YEAR($G$30)*12+MONTH($G$30)), (YEAR(DATE(2022,10,1))*12+MONTH(DATE(2022,10,1)))) + 1),0)</f>
        <v/>
      </c>
      <c r="S30" s="16">
        <f>IF(($G$30&lt;=DATE(2023,3,31))*($H$30&gt;=DATE(2023,1,1)),$C$30 * $F$30 * MAX(0, MIN((YEAR($H$30)*12+MONTH($H$30)), (YEAR(DATE(2023,3,31))*12+MONTH(DATE(2023,3,31)))) - MAX((YEAR($G$30)*12+MONTH($G$30)), (YEAR(DATE(2023,1,1))*12+MONTH(DATE(2023,1,1)))) + 1),0)</f>
        <v/>
      </c>
      <c r="T30" s="16">
        <f>IF(($G$30&lt;=DATE(2023,6,30))*($H$30&gt;=DATE(2023,4,1)),$C$30 * $F$30 * MAX(0, MIN((YEAR($H$30)*12+MONTH($H$30)), (YEAR(DATE(2023,6,30))*12+MONTH(DATE(2023,6,30)))) - MAX((YEAR($G$30)*12+MONTH($G$30)), (YEAR(DATE(2023,4,1))*12+MONTH(DATE(2023,4,1)))) + 1),0)</f>
        <v/>
      </c>
      <c r="U30" s="16">
        <f>IF(($G$30&lt;=DATE(2023,9,30))*($H$30&gt;=DATE(2023,7,1)),$C$30 * $F$30 * MAX(0, MIN((YEAR($H$30)*12+MONTH($H$30)), (YEAR(DATE(2023,9,30))*12+MONTH(DATE(2023,9,30)))) - MAX((YEAR($G$30)*12+MONTH($G$30)), (YEAR(DATE(2023,7,1))*12+MONTH(DATE(2023,7,1)))) + 1),0)</f>
        <v/>
      </c>
      <c r="V30" s="16">
        <f>IF(($G$30&lt;=DATE(2023,12,31))*($H$30&gt;=DATE(2023,10,1)),$C$30 * $F$30 * MAX(0, MIN((YEAR($H$30)*12+MONTH($H$30)), (YEAR(DATE(2023,12,31))*12+MONTH(DATE(2023,12,31)))) - MAX((YEAR($G$30)*12+MONTH($G$30)), (YEAR(DATE(2023,10,1))*12+MONTH(DATE(2023,10,1)))) + 1),0)</f>
        <v/>
      </c>
      <c r="W30" s="16">
        <f>IF(($G$30&lt;=DATE(2024,3,31))*($H$30&gt;=DATE(2024,1,1)),$C$30 * $F$30 * MAX(0, MIN((YEAR($H$30)*12+MONTH($H$30)), (YEAR(DATE(2024,3,31))*12+MONTH(DATE(2024,3,31)))) - MAX((YEAR($G$30)*12+MONTH($G$30)), (YEAR(DATE(2024,1,1))*12+MONTH(DATE(2024,1,1)))) + 1),0)</f>
        <v/>
      </c>
      <c r="X30" s="16">
        <f>IF(($G$30&lt;=DATE(2024,6,30))*($H$30&gt;=DATE(2024,4,1)),$C$30 * $F$30 * MAX(0, MIN((YEAR($H$30)*12+MONTH($H$30)), (YEAR(DATE(2024,6,30))*12+MONTH(DATE(2024,6,30)))) - MAX((YEAR($G$30)*12+MONTH($G$30)), (YEAR(DATE(2024,4,1))*12+MONTH(DATE(2024,4,1)))) + 1),0)</f>
        <v/>
      </c>
      <c r="Y30" s="16">
        <f>IF(($G$30&lt;=DATE(2024,9,30))*($H$30&gt;=DATE(2024,7,1)),$C$30 * $F$30 * MAX(0, MIN((YEAR($H$30)*12+MONTH($H$30)), (YEAR(DATE(2024,9,30))*12+MONTH(DATE(2024,9,30)))) - MAX((YEAR($G$30)*12+MONTH($G$30)), (YEAR(DATE(2024,7,1))*12+MONTH(DATE(2024,7,1)))) + 1),0)</f>
        <v/>
      </c>
      <c r="Z30" s="16">
        <f>IF(($G$30&lt;=DATE(2024,12,31))*($H$30&gt;=DATE(2024,10,1)),$C$30 * $F$30 * MAX(0, MIN((YEAR($H$30)*12+MONTH($H$30)), (YEAR(DATE(2024,12,31))*12+MONTH(DATE(2024,12,31)))) - MAX((YEAR($G$30)*12+MONTH($G$30)), (YEAR(DATE(2024,10,1))*12+MONTH(DATE(2024,10,1)))) + 1),0)</f>
        <v/>
      </c>
      <c r="AA30" s="16">
        <f>IF(($G$30&lt;=DATE(2025,3,31))*($H$30&gt;=DATE(2025,1,1)),$C$30 * $F$30 * MAX(0, MIN((YEAR($H$30)*12+MONTH($H$30)), (YEAR(DATE(2025,3,31))*12+MONTH(DATE(2025,3,31)))) - MAX((YEAR($G$30)*12+MONTH($G$30)), (YEAR(DATE(2025,1,1))*12+MONTH(DATE(2025,1,1)))) + 1),0)</f>
        <v/>
      </c>
      <c r="AB30" s="16">
        <f>IF(($G$30&lt;=DATE(2025,6,30))*($H$30&gt;=DATE(2025,4,1)),$C$30 * $F$30 * MAX(0, MIN((YEAR($H$30)*12+MONTH($H$30)), (YEAR(DATE(2025,6,30))*12+MONTH(DATE(2025,6,30)))) - MAX((YEAR($G$30)*12+MONTH($G$30)), (YEAR(DATE(2025,4,1))*12+MONTH(DATE(2025,4,1)))) + 1),0)</f>
        <v/>
      </c>
      <c r="AC30" s="16">
        <f>IF(($G$30&lt;=DATE(2025,9,30))*($H$30&gt;=DATE(2025,7,1)),$C$30 * $F$30 * MAX(0, MIN((YEAR($H$30)*12+MONTH($H$30)), (YEAR(DATE(2025,9,30))*12+MONTH(DATE(2025,9,30)))) - MAX((YEAR($G$30)*12+MONTH($G$30)), (YEAR(DATE(2025,7,1))*12+MONTH(DATE(2025,7,1)))) + 1),0)</f>
        <v/>
      </c>
      <c r="AD30" s="16">
        <f>IF(($G$30&lt;=DATE(2025,12,31))*($H$30&gt;=DATE(2025,10,1)),$C$30 * $F$30 * MAX(0, MIN((YEAR($H$30)*12+MONTH($H$30)), (YEAR(DATE(2025,12,31))*12+MONTH(DATE(2025,12,31)))) - MAX((YEAR($G$30)*12+MONTH($G$30)), (YEAR(DATE(2025,10,1))*12+MONTH(DATE(2025,10,1)))) + 1),0)</f>
        <v/>
      </c>
      <c r="AE30" s="16">
        <f>IF(($G$30&lt;=DATE(2026,3,31))*($H$30&gt;=DATE(2026,1,1)),$C$30 * $F$30 * MAX(0, MIN((YEAR($H$30)*12+MONTH($H$30)), (YEAR(DATE(2026,3,31))*12+MONTH(DATE(2026,3,31)))) - MAX((YEAR($G$30)*12+MONTH($G$30)), (YEAR(DATE(2026,1,1))*12+MONTH(DATE(2026,1,1)))) + 1),0)</f>
        <v/>
      </c>
      <c r="AF30" s="16">
        <f>IF(($G$30&lt;=DATE(2026,6,30))*($H$30&gt;=DATE(2026,4,1)),$C$30 * $F$30 * MAX(0, MIN((YEAR($H$30)*12+MONTH($H$30)), (YEAR(DATE(2026,6,30))*12+MONTH(DATE(2026,6,30)))) - MAX((YEAR($G$30)*12+MONTH($G$30)), (YEAR(DATE(2026,4,1))*12+MONTH(DATE(2026,4,1)))) + 1),0)</f>
        <v/>
      </c>
      <c r="AG30" s="16">
        <f>IF(($G$30&lt;=DATE(2026,9,30))*($H$30&gt;=DATE(2026,7,1)),$C$30 * $F$30 * MAX(0, MIN((YEAR($H$30)*12+MONTH($H$30)), (YEAR(DATE(2026,9,30))*12+MONTH(DATE(2026,9,30)))) - MAX((YEAR($G$30)*12+MONTH($G$30)), (YEAR(DATE(2026,7,1))*12+MONTH(DATE(2026,7,1)))) + 1),0)</f>
        <v/>
      </c>
      <c r="AH30" s="16">
        <f>IF(($G$30&lt;=DATE(2026,12,31))*($H$30&gt;=DATE(2026,10,1)),$C$30 * $F$30 * MAX(0, MIN((YEAR($H$30)*12+MONTH($H$30)), (YEAR(DATE(2026,12,31))*12+MONTH(DATE(2026,12,31)))) - MAX((YEAR($G$30)*12+MONTH($G$30)), (YEAR(DATE(2026,10,1))*12+MONTH(DATE(2026,10,1)))) + 1),0)</f>
        <v/>
      </c>
      <c r="AI30" s="16">
        <f>IF(($G$30&lt;=DATE(2027,3,31))*($H$30&gt;=DATE(2027,1,1)),$C$30 * $F$30 * MAX(0, MIN((YEAR($H$30)*12+MONTH($H$30)), (YEAR(DATE(2027,3,31))*12+MONTH(DATE(2027,3,31)))) - MAX((YEAR($G$30)*12+MONTH($G$30)), (YEAR(DATE(2027,1,1))*12+MONTH(DATE(2027,1,1)))) + 1),0)</f>
        <v/>
      </c>
      <c r="AJ30" s="16">
        <f>IF(($G$30&lt;=DATE(2027,6,30))*($H$30&gt;=DATE(2027,4,1)),$C$30 * $F$30 * MAX(0, MIN((YEAR($H$30)*12+MONTH($H$30)), (YEAR(DATE(2027,6,30))*12+MONTH(DATE(2027,6,30)))) - MAX((YEAR($G$30)*12+MONTH($G$30)), (YEAR(DATE(2027,4,1))*12+MONTH(DATE(2027,4,1)))) + 1),0)</f>
        <v/>
      </c>
      <c r="AK30" s="16">
        <f>IF(($G$30&lt;=DATE(2027,9,30))*($H$30&gt;=DATE(2027,7,1)),$C$30 * $F$30 * MAX(0, MIN((YEAR($H$30)*12+MONTH($H$30)), (YEAR(DATE(2027,9,30))*12+MONTH(DATE(2027,9,30)))) - MAX((YEAR($G$30)*12+MONTH($G$30)), (YEAR(DATE(2027,7,1))*12+MONTH(DATE(2027,7,1)))) + 1),0)</f>
        <v/>
      </c>
      <c r="AL30" s="16">
        <f>IF(($G$30&lt;=DATE(2027,12,31))*($H$30&gt;=DATE(2027,10,1)),$C$30 * $F$30 * MAX(0, MIN((YEAR($H$30)*12+MONTH($H$30)), (YEAR(DATE(2027,12,31))*12+MONTH(DATE(2027,12,31)))) - MAX((YEAR($G$30)*12+MONTH($G$30)), (YEAR(DATE(2027,10,1))*12+MONTH(DATE(2027,10,1)))) + 1),0)</f>
        <v/>
      </c>
      <c r="AM30" s="16">
        <f>IF(($G$30&lt;=DATE(2028,3,31))*($H$30&gt;=DATE(2028,1,1)),$C$30 * $F$30 * MAX(0, MIN((YEAR($H$30)*12+MONTH($H$30)), (YEAR(DATE(2028,3,31))*12+MONTH(DATE(2028,3,31)))) - MAX((YEAR($G$30)*12+MONTH($G$30)), (YEAR(DATE(2028,1,1))*12+MONTH(DATE(2028,1,1)))) + 1),0)</f>
        <v/>
      </c>
      <c r="AN30" s="16">
        <f>IF(($G$30&lt;=DATE(2028,6,30))*($H$30&gt;=DATE(2028,4,1)),$C$30 * $F$30 * MAX(0, MIN((YEAR($H$30)*12+MONTH($H$30)), (YEAR(DATE(2028,6,30))*12+MONTH(DATE(2028,6,30)))) - MAX((YEAR($G$30)*12+MONTH($G$30)), (YEAR(DATE(2028,4,1))*12+MONTH(DATE(2028,4,1)))) + 1),0)</f>
        <v/>
      </c>
      <c r="AO30" s="16">
        <f>IF(($G$30&lt;=DATE(2028,9,30))*($H$30&gt;=DATE(2028,7,1)),$C$30 * $F$30 * MAX(0, MIN((YEAR($H$30)*12+MONTH($H$30)), (YEAR(DATE(2028,9,30))*12+MONTH(DATE(2028,9,30)))) - MAX((YEAR($G$30)*12+MONTH($G$30)), (YEAR(DATE(2028,7,1))*12+MONTH(DATE(2028,7,1)))) + 1),0)</f>
        <v/>
      </c>
      <c r="AP30" s="16">
        <f>IF(($G$30&lt;=DATE(2028,12,31))*($H$30&gt;=DATE(2028,10,1)),$C$30 * $F$30 * MAX(0, MIN((YEAR($H$30)*12+MONTH($H$30)), (YEAR(DATE(2028,12,31))*12+MONTH(DATE(2028,12,31)))) - MAX((YEAR($G$30)*12+MONTH($G$30)), (YEAR(DATE(2028,10,1))*12+MONTH(DATE(2028,10,1)))) + 1),0)</f>
        <v/>
      </c>
      <c r="AQ30" s="16">
        <f>IF(AND($D$30 &gt;= DATE(2021,1,1), $D$30 &lt;= DATE(2021,3,31)), $C$30 * $E$30 * $F$30, 0)</f>
        <v/>
      </c>
      <c r="AR30" s="16">
        <f>IF(AND($D$30 &gt;= DATE(2021,4,1), $D$30 &lt;= DATE(2021,6,30)), $C$30 * $E$30 * $F$30, 0)</f>
        <v/>
      </c>
      <c r="AS30" s="16">
        <f>IF(AND($D$30 &gt;= DATE(2021,7,1), $D$30 &lt;= DATE(2021,9,30)), $C$30 * $E$30 * $F$30, 0)</f>
        <v/>
      </c>
      <c r="AT30" s="16">
        <f>IF(AND($D$30 &gt;= DATE(2021,10,1), $D$30 &lt;= DATE(2021,12,31)), $C$30 * $E$30 * $F$30, 0)</f>
        <v/>
      </c>
      <c r="AU30" s="16">
        <f>IF(AND($D$30 &gt;= DATE(2022,1,1), $D$30 &lt;= DATE(2022,3,31)), $C$30 * $E$30 * $F$30, 0)</f>
        <v/>
      </c>
      <c r="AV30" s="16">
        <f>IF(AND($D$30 &gt;= DATE(2022,4,1), $D$30 &lt;= DATE(2022,6,30)), $C$30 * $E$30 * $F$30, 0)</f>
        <v/>
      </c>
      <c r="AW30" s="16">
        <f>IF(AND($D$30 &gt;= DATE(2022,7,1), $D$30 &lt;= DATE(2022,9,30)), $C$30 * $E$30 * $F$30, 0)</f>
        <v/>
      </c>
      <c r="AX30" s="16">
        <f>IF(AND($D$30 &gt;= DATE(2022,10,1), $D$30 &lt;= DATE(2022,12,31)), $C$30 * $E$30 * $F$30, 0)</f>
        <v/>
      </c>
      <c r="AY30" s="16">
        <f>IF(AND($D$30 &gt;= DATE(2023,1,1), $D$30 &lt;= DATE(2023,3,31)), $C$30 * $E$30 * $F$30, 0)</f>
        <v/>
      </c>
      <c r="AZ30" s="16">
        <f>IF(AND($D$30 &gt;= DATE(2023,4,1), $D$30 &lt;= DATE(2023,6,30)), $C$30 * $E$30 * $F$30, 0)</f>
        <v/>
      </c>
      <c r="BA30" s="16">
        <f>IF(AND($D$30 &gt;= DATE(2023,7,1), $D$30 &lt;= DATE(2023,9,30)), $C$30 * $E$30 * $F$30, 0)</f>
        <v/>
      </c>
      <c r="BB30" s="16">
        <f>IF(AND($D$30 &gt;= DATE(2023,10,1), $D$30 &lt;= DATE(2023,12,31)), $C$30 * $E$30 * $F$30, 0)</f>
        <v/>
      </c>
      <c r="BC30" s="16">
        <f>IF(AND($D$30 &gt;= DATE(2024,1,1), $D$30 &lt;= DATE(2024,3,31)), $C$30 * $E$30 * $F$30, 0)</f>
        <v/>
      </c>
      <c r="BD30" s="16">
        <f>IF(AND($D$30 &gt;= DATE(2024,4,1), $D$30 &lt;= DATE(2024,6,30)), $C$30 * $E$30 * $F$30, 0)</f>
        <v/>
      </c>
      <c r="BE30" s="16">
        <f>IF(AND($D$30 &gt;= DATE(2024,7,1), $D$30 &lt;= DATE(2024,9,30)), $C$30 * $E$30 * $F$30, 0)</f>
        <v/>
      </c>
      <c r="BF30" s="16">
        <f>IF(AND($D$30 &gt;= DATE(2024,10,1), $D$30 &lt;= DATE(2024,12,31)), $C$30 * $E$30 * $F$30, 0)</f>
        <v/>
      </c>
      <c r="BG30" s="16">
        <f>IF(AND($D$30 &gt;= DATE(2025,1,1), $D$30 &lt;= DATE(2025,3,31)), $C$30 * $E$30 * $F$30, 0)</f>
        <v/>
      </c>
      <c r="BH30" s="16">
        <f>IF(AND($D$30 &gt;= DATE(2025,4,1), $D$30 &lt;= DATE(2025,6,30)), $C$30 * $E$30 * $F$30, 0)</f>
        <v/>
      </c>
      <c r="BI30" s="16">
        <f>IF(AND($D$30 &gt;= DATE(2025,7,1), $D$30 &lt;= DATE(2025,9,30)), $C$30 * $E$30 * $F$30, 0)</f>
        <v/>
      </c>
      <c r="BJ30" s="16">
        <f>IF(AND($D$30 &gt;= DATE(2025,10,1), $D$30 &lt;= DATE(2025,12,31)), $C$30 * $E$30 * $F$30, 0)</f>
        <v/>
      </c>
      <c r="BK30" s="16">
        <f>IF(AND($D$30 &gt;= DATE(2026,1,1), $D$30 &lt;= DATE(2026,3,31)), $C$30 * $E$30 * $F$30, 0)</f>
        <v/>
      </c>
      <c r="BL30" s="16">
        <f>IF(AND($D$30 &gt;= DATE(2026,4,1), $D$30 &lt;= DATE(2026,6,30)), $C$30 * $E$30 * $F$30, 0)</f>
        <v/>
      </c>
      <c r="BM30" s="16">
        <f>IF(AND($D$30 &gt;= DATE(2026,7,1), $D$30 &lt;= DATE(2026,9,30)), $C$30 * $E$30 * $F$30, 0)</f>
        <v/>
      </c>
      <c r="BN30" s="16">
        <f>IF(AND($D$30 &gt;= DATE(2026,10,1), $D$30 &lt;= DATE(2026,12,31)), $C$30 * $E$30 * $F$30, 0)</f>
        <v/>
      </c>
      <c r="BO30" s="16">
        <f>IF(AND($D$30 &gt;= DATE(2027,1,1), $D$30 &lt;= DATE(2027,3,31)), $C$30 * $E$30 * $F$30, 0)</f>
        <v/>
      </c>
      <c r="BP30" s="16">
        <f>IF(AND($D$30 &gt;= DATE(2027,4,1), $D$30 &lt;= DATE(2027,6,30)), $C$30 * $E$30 * $F$30, 0)</f>
        <v/>
      </c>
      <c r="BQ30" s="16">
        <f>IF(AND($D$30 &gt;= DATE(2027,7,1), $D$30 &lt;= DATE(2027,9,30)), $C$30 * $E$30 * $F$30, 0)</f>
        <v/>
      </c>
      <c r="BR30" s="16">
        <f>IF(AND($D$30 &gt;= DATE(2027,10,1), $D$30 &lt;= DATE(2027,12,31)), $C$30 * $E$30 * $F$30, 0)</f>
        <v/>
      </c>
      <c r="BS30" s="16">
        <f>IF(AND($D$30 &gt;= DATE(2028,1,1), $D$30 &lt;= DATE(2028,3,31)), $C$30 * $E$30 * $F$30, 0)</f>
        <v/>
      </c>
      <c r="BT30" s="16">
        <f>IF(AND($D$30 &gt;= DATE(2028,4,1), $D$30 &lt;= DATE(2028,6,30)), $C$30 * $E$30 * $F$30, 0)</f>
        <v/>
      </c>
      <c r="BU30" s="16">
        <f>IF(AND($D$30 &gt;= DATE(2028,7,1), $D$30 &lt;= DATE(2028,9,30)), $C$30 * $E$30 * $F$30, 0)</f>
        <v/>
      </c>
      <c r="BV30" s="16">
        <f>IF(AND($D$30 &gt;= DATE(2028,10,1), $D$30 &lt;= DATE(2028,12,31)), $C$30 * $E$30 * $F$30, 0)</f>
        <v/>
      </c>
    </row>
    <row r="31">
      <c r="B31" t="inlineStr">
        <is>
          <t>Northfield &gt; Lumen Aerospace &gt; Flight Article Batch</t>
        </is>
      </c>
      <c r="C31" s="16" t="n">
        <v>170000</v>
      </c>
      <c r="D31" s="18" t="n">
        <v>46357</v>
      </c>
      <c r="E31" s="16" t="n">
        <v>4</v>
      </c>
      <c r="F31" s="19" t="n">
        <v>0.75</v>
      </c>
      <c r="G31" s="18" t="n">
        <v>46388</v>
      </c>
      <c r="H31" s="18" t="n">
        <v>46478</v>
      </c>
      <c r="I31" s="16">
        <f>$C$31 * $E$31</f>
        <v/>
      </c>
      <c r="J31" s="20">
        <f>$C$31 * $E$31 * $F$31</f>
        <v/>
      </c>
      <c r="K31" s="16">
        <f>IF(($G$31&lt;=DATE(2021,3,31))*($H$31&gt;=DATE(2021,1,1)),$C$31 * $F$31 * MAX(0, MIN((YEAR($H$31)*12+MONTH($H$31)), (YEAR(DATE(2021,3,31))*12+MONTH(DATE(2021,3,31)))) - MAX((YEAR($G$31)*12+MONTH($G$31)), (YEAR(DATE(2021,1,1))*12+MONTH(DATE(2021,1,1)))) + 1),0)</f>
        <v/>
      </c>
      <c r="L31" s="16">
        <f>IF(($G$31&lt;=DATE(2021,6,30))*($H$31&gt;=DATE(2021,4,1)),$C$31 * $F$31 * MAX(0, MIN((YEAR($H$31)*12+MONTH($H$31)), (YEAR(DATE(2021,6,30))*12+MONTH(DATE(2021,6,30)))) - MAX((YEAR($G$31)*12+MONTH($G$31)), (YEAR(DATE(2021,4,1))*12+MONTH(DATE(2021,4,1)))) + 1),0)</f>
        <v/>
      </c>
      <c r="M31" s="16">
        <f>IF(($G$31&lt;=DATE(2021,9,30))*($H$31&gt;=DATE(2021,7,1)),$C$31 * $F$31 * MAX(0, MIN((YEAR($H$31)*12+MONTH($H$31)), (YEAR(DATE(2021,9,30))*12+MONTH(DATE(2021,9,30)))) - MAX((YEAR($G$31)*12+MONTH($G$31)), (YEAR(DATE(2021,7,1))*12+MONTH(DATE(2021,7,1)))) + 1),0)</f>
        <v/>
      </c>
      <c r="N31" s="16">
        <f>IF(($G$31&lt;=DATE(2021,12,31))*($H$31&gt;=DATE(2021,10,1)),$C$31 * $F$31 * MAX(0, MIN((YEAR($H$31)*12+MONTH($H$31)), (YEAR(DATE(2021,12,31))*12+MONTH(DATE(2021,12,31)))) - MAX((YEAR($G$31)*12+MONTH($G$31)), (YEAR(DATE(2021,10,1))*12+MONTH(DATE(2021,10,1)))) + 1),0)</f>
        <v/>
      </c>
      <c r="O31" s="16">
        <f>IF(($G$31&lt;=DATE(2022,3,31))*($H$31&gt;=DATE(2022,1,1)),$C$31 * $F$31 * MAX(0, MIN((YEAR($H$31)*12+MONTH($H$31)), (YEAR(DATE(2022,3,31))*12+MONTH(DATE(2022,3,31)))) - MAX((YEAR($G$31)*12+MONTH($G$31)), (YEAR(DATE(2022,1,1))*12+MONTH(DATE(2022,1,1)))) + 1),0)</f>
        <v/>
      </c>
      <c r="P31" s="16">
        <f>IF(($G$31&lt;=DATE(2022,6,30))*($H$31&gt;=DATE(2022,4,1)),$C$31 * $F$31 * MAX(0, MIN((YEAR($H$31)*12+MONTH($H$31)), (YEAR(DATE(2022,6,30))*12+MONTH(DATE(2022,6,30)))) - MAX((YEAR($G$31)*12+MONTH($G$31)), (YEAR(DATE(2022,4,1))*12+MONTH(DATE(2022,4,1)))) + 1),0)</f>
        <v/>
      </c>
      <c r="Q31" s="16">
        <f>IF(($G$31&lt;=DATE(2022,9,30))*($H$31&gt;=DATE(2022,7,1)),$C$31 * $F$31 * MAX(0, MIN((YEAR($H$31)*12+MONTH($H$31)), (YEAR(DATE(2022,9,30))*12+MONTH(DATE(2022,9,30)))) - MAX((YEAR($G$31)*12+MONTH($G$31)), (YEAR(DATE(2022,7,1))*12+MONTH(DATE(2022,7,1)))) + 1),0)</f>
        <v/>
      </c>
      <c r="R31" s="16">
        <f>IF(($G$31&lt;=DATE(2022,12,31))*($H$31&gt;=DATE(2022,10,1)),$C$31 * $F$31 * MAX(0, MIN((YEAR($H$31)*12+MONTH($H$31)), (YEAR(DATE(2022,12,31))*12+MONTH(DATE(2022,12,31)))) - MAX((YEAR($G$31)*12+MONTH($G$31)), (YEAR(DATE(2022,10,1))*12+MONTH(DATE(2022,10,1)))) + 1),0)</f>
        <v/>
      </c>
      <c r="S31" s="16">
        <f>IF(($G$31&lt;=DATE(2023,3,31))*($H$31&gt;=DATE(2023,1,1)),$C$31 * $F$31 * MAX(0, MIN((YEAR($H$31)*12+MONTH($H$31)), (YEAR(DATE(2023,3,31))*12+MONTH(DATE(2023,3,31)))) - MAX((YEAR($G$31)*12+MONTH($G$31)), (YEAR(DATE(2023,1,1))*12+MONTH(DATE(2023,1,1)))) + 1),0)</f>
        <v/>
      </c>
      <c r="T31" s="16">
        <f>IF(($G$31&lt;=DATE(2023,6,30))*($H$31&gt;=DATE(2023,4,1)),$C$31 * $F$31 * MAX(0, MIN((YEAR($H$31)*12+MONTH($H$31)), (YEAR(DATE(2023,6,30))*12+MONTH(DATE(2023,6,30)))) - MAX((YEAR($G$31)*12+MONTH($G$31)), (YEAR(DATE(2023,4,1))*12+MONTH(DATE(2023,4,1)))) + 1),0)</f>
        <v/>
      </c>
      <c r="U31" s="16">
        <f>IF(($G$31&lt;=DATE(2023,9,30))*($H$31&gt;=DATE(2023,7,1)),$C$31 * $F$31 * MAX(0, MIN((YEAR($H$31)*12+MONTH($H$31)), (YEAR(DATE(2023,9,30))*12+MONTH(DATE(2023,9,30)))) - MAX((YEAR($G$31)*12+MONTH($G$31)), (YEAR(DATE(2023,7,1))*12+MONTH(DATE(2023,7,1)))) + 1),0)</f>
        <v/>
      </c>
      <c r="V31" s="16">
        <f>IF(($G$31&lt;=DATE(2023,12,31))*($H$31&gt;=DATE(2023,10,1)),$C$31 * $F$31 * MAX(0, MIN((YEAR($H$31)*12+MONTH($H$31)), (YEAR(DATE(2023,12,31))*12+MONTH(DATE(2023,12,31)))) - MAX((YEAR($G$31)*12+MONTH($G$31)), (YEAR(DATE(2023,10,1))*12+MONTH(DATE(2023,10,1)))) + 1),0)</f>
        <v/>
      </c>
      <c r="W31" s="16">
        <f>IF(($G$31&lt;=DATE(2024,3,31))*($H$31&gt;=DATE(2024,1,1)),$C$31 * $F$31 * MAX(0, MIN((YEAR($H$31)*12+MONTH($H$31)), (YEAR(DATE(2024,3,31))*12+MONTH(DATE(2024,3,31)))) - MAX((YEAR($G$31)*12+MONTH($G$31)), (YEAR(DATE(2024,1,1))*12+MONTH(DATE(2024,1,1)))) + 1),0)</f>
        <v/>
      </c>
      <c r="X31" s="16">
        <f>IF(($G$31&lt;=DATE(2024,6,30))*($H$31&gt;=DATE(2024,4,1)),$C$31 * $F$31 * MAX(0, MIN((YEAR($H$31)*12+MONTH($H$31)), (YEAR(DATE(2024,6,30))*12+MONTH(DATE(2024,6,30)))) - MAX((YEAR($G$31)*12+MONTH($G$31)), (YEAR(DATE(2024,4,1))*12+MONTH(DATE(2024,4,1)))) + 1),0)</f>
        <v/>
      </c>
      <c r="Y31" s="16">
        <f>IF(($G$31&lt;=DATE(2024,9,30))*($H$31&gt;=DATE(2024,7,1)),$C$31 * $F$31 * MAX(0, MIN((YEAR($H$31)*12+MONTH($H$31)), (YEAR(DATE(2024,9,30))*12+MONTH(DATE(2024,9,30)))) - MAX((YEAR($G$31)*12+MONTH($G$31)), (YEAR(DATE(2024,7,1))*12+MONTH(DATE(2024,7,1)))) + 1),0)</f>
        <v/>
      </c>
      <c r="Z31" s="16">
        <f>IF(($G$31&lt;=DATE(2024,12,31))*($H$31&gt;=DATE(2024,10,1)),$C$31 * $F$31 * MAX(0, MIN((YEAR($H$31)*12+MONTH($H$31)), (YEAR(DATE(2024,12,31))*12+MONTH(DATE(2024,12,31)))) - MAX((YEAR($G$31)*12+MONTH($G$31)), (YEAR(DATE(2024,10,1))*12+MONTH(DATE(2024,10,1)))) + 1),0)</f>
        <v/>
      </c>
      <c r="AA31" s="16">
        <f>IF(($G$31&lt;=DATE(2025,3,31))*($H$31&gt;=DATE(2025,1,1)),$C$31 * $F$31 * MAX(0, MIN((YEAR($H$31)*12+MONTH($H$31)), (YEAR(DATE(2025,3,31))*12+MONTH(DATE(2025,3,31)))) - MAX((YEAR($G$31)*12+MONTH($G$31)), (YEAR(DATE(2025,1,1))*12+MONTH(DATE(2025,1,1)))) + 1),0)</f>
        <v/>
      </c>
      <c r="AB31" s="16">
        <f>IF(($G$31&lt;=DATE(2025,6,30))*($H$31&gt;=DATE(2025,4,1)),$C$31 * $F$31 * MAX(0, MIN((YEAR($H$31)*12+MONTH($H$31)), (YEAR(DATE(2025,6,30))*12+MONTH(DATE(2025,6,30)))) - MAX((YEAR($G$31)*12+MONTH($G$31)), (YEAR(DATE(2025,4,1))*12+MONTH(DATE(2025,4,1)))) + 1),0)</f>
        <v/>
      </c>
      <c r="AC31" s="16">
        <f>IF(($G$31&lt;=DATE(2025,9,30))*($H$31&gt;=DATE(2025,7,1)),$C$31 * $F$31 * MAX(0, MIN((YEAR($H$31)*12+MONTH($H$31)), (YEAR(DATE(2025,9,30))*12+MONTH(DATE(2025,9,30)))) - MAX((YEAR($G$31)*12+MONTH($G$31)), (YEAR(DATE(2025,7,1))*12+MONTH(DATE(2025,7,1)))) + 1),0)</f>
        <v/>
      </c>
      <c r="AD31" s="16">
        <f>IF(($G$31&lt;=DATE(2025,12,31))*($H$31&gt;=DATE(2025,10,1)),$C$31 * $F$31 * MAX(0, MIN((YEAR($H$31)*12+MONTH($H$31)), (YEAR(DATE(2025,12,31))*12+MONTH(DATE(2025,12,31)))) - MAX((YEAR($G$31)*12+MONTH($G$31)), (YEAR(DATE(2025,10,1))*12+MONTH(DATE(2025,10,1)))) + 1),0)</f>
        <v/>
      </c>
      <c r="AE31" s="16">
        <f>IF(($G$31&lt;=DATE(2026,3,31))*($H$31&gt;=DATE(2026,1,1)),$C$31 * $F$31 * MAX(0, MIN((YEAR($H$31)*12+MONTH($H$31)), (YEAR(DATE(2026,3,31))*12+MONTH(DATE(2026,3,31)))) - MAX((YEAR($G$31)*12+MONTH($G$31)), (YEAR(DATE(2026,1,1))*12+MONTH(DATE(2026,1,1)))) + 1),0)</f>
        <v/>
      </c>
      <c r="AF31" s="16">
        <f>IF(($G$31&lt;=DATE(2026,6,30))*($H$31&gt;=DATE(2026,4,1)),$C$31 * $F$31 * MAX(0, MIN((YEAR($H$31)*12+MONTH($H$31)), (YEAR(DATE(2026,6,30))*12+MONTH(DATE(2026,6,30)))) - MAX((YEAR($G$31)*12+MONTH($G$31)), (YEAR(DATE(2026,4,1))*12+MONTH(DATE(2026,4,1)))) + 1),0)</f>
        <v/>
      </c>
      <c r="AG31" s="16">
        <f>IF(($G$31&lt;=DATE(2026,9,30))*($H$31&gt;=DATE(2026,7,1)),$C$31 * $F$31 * MAX(0, MIN((YEAR($H$31)*12+MONTH($H$31)), (YEAR(DATE(2026,9,30))*12+MONTH(DATE(2026,9,30)))) - MAX((YEAR($G$31)*12+MONTH($G$31)), (YEAR(DATE(2026,7,1))*12+MONTH(DATE(2026,7,1)))) + 1),0)</f>
        <v/>
      </c>
      <c r="AH31" s="16">
        <f>IF(($G$31&lt;=DATE(2026,12,31))*($H$31&gt;=DATE(2026,10,1)),$C$31 * $F$31 * MAX(0, MIN((YEAR($H$31)*12+MONTH($H$31)), (YEAR(DATE(2026,12,31))*12+MONTH(DATE(2026,12,31)))) - MAX((YEAR($G$31)*12+MONTH($G$31)), (YEAR(DATE(2026,10,1))*12+MONTH(DATE(2026,10,1)))) + 1),0)</f>
        <v/>
      </c>
      <c r="AI31" s="16">
        <f>IF(($G$31&lt;=DATE(2027,3,31))*($H$31&gt;=DATE(2027,1,1)),$C$31 * $F$31 * MAX(0, MIN((YEAR($H$31)*12+MONTH($H$31)), (YEAR(DATE(2027,3,31))*12+MONTH(DATE(2027,3,31)))) - MAX((YEAR($G$31)*12+MONTH($G$31)), (YEAR(DATE(2027,1,1))*12+MONTH(DATE(2027,1,1)))) + 1),0)</f>
        <v/>
      </c>
      <c r="AJ31" s="16">
        <f>IF(($G$31&lt;=DATE(2027,6,30))*($H$31&gt;=DATE(2027,4,1)),$C$31 * $F$31 * MAX(0, MIN((YEAR($H$31)*12+MONTH($H$31)), (YEAR(DATE(2027,6,30))*12+MONTH(DATE(2027,6,30)))) - MAX((YEAR($G$31)*12+MONTH($G$31)), (YEAR(DATE(2027,4,1))*12+MONTH(DATE(2027,4,1)))) + 1),0)</f>
        <v/>
      </c>
      <c r="AK31" s="16">
        <f>IF(($G$31&lt;=DATE(2027,9,30))*($H$31&gt;=DATE(2027,7,1)),$C$31 * $F$31 * MAX(0, MIN((YEAR($H$31)*12+MONTH($H$31)), (YEAR(DATE(2027,9,30))*12+MONTH(DATE(2027,9,30)))) - MAX((YEAR($G$31)*12+MONTH($G$31)), (YEAR(DATE(2027,7,1))*12+MONTH(DATE(2027,7,1)))) + 1),0)</f>
        <v/>
      </c>
      <c r="AL31" s="16">
        <f>IF(($G$31&lt;=DATE(2027,12,31))*($H$31&gt;=DATE(2027,10,1)),$C$31 * $F$31 * MAX(0, MIN((YEAR($H$31)*12+MONTH($H$31)), (YEAR(DATE(2027,12,31))*12+MONTH(DATE(2027,12,31)))) - MAX((YEAR($G$31)*12+MONTH($G$31)), (YEAR(DATE(2027,10,1))*12+MONTH(DATE(2027,10,1)))) + 1),0)</f>
        <v/>
      </c>
      <c r="AM31" s="16">
        <f>IF(($G$31&lt;=DATE(2028,3,31))*($H$31&gt;=DATE(2028,1,1)),$C$31 * $F$31 * MAX(0, MIN((YEAR($H$31)*12+MONTH($H$31)), (YEAR(DATE(2028,3,31))*12+MONTH(DATE(2028,3,31)))) - MAX((YEAR($G$31)*12+MONTH($G$31)), (YEAR(DATE(2028,1,1))*12+MONTH(DATE(2028,1,1)))) + 1),0)</f>
        <v/>
      </c>
      <c r="AN31" s="16">
        <f>IF(($G$31&lt;=DATE(2028,6,30))*($H$31&gt;=DATE(2028,4,1)),$C$31 * $F$31 * MAX(0, MIN((YEAR($H$31)*12+MONTH($H$31)), (YEAR(DATE(2028,6,30))*12+MONTH(DATE(2028,6,30)))) - MAX((YEAR($G$31)*12+MONTH($G$31)), (YEAR(DATE(2028,4,1))*12+MONTH(DATE(2028,4,1)))) + 1),0)</f>
        <v/>
      </c>
      <c r="AO31" s="16">
        <f>IF(($G$31&lt;=DATE(2028,9,30))*($H$31&gt;=DATE(2028,7,1)),$C$31 * $F$31 * MAX(0, MIN((YEAR($H$31)*12+MONTH($H$31)), (YEAR(DATE(2028,9,30))*12+MONTH(DATE(2028,9,30)))) - MAX((YEAR($G$31)*12+MONTH($G$31)), (YEAR(DATE(2028,7,1))*12+MONTH(DATE(2028,7,1)))) + 1),0)</f>
        <v/>
      </c>
      <c r="AP31" s="16">
        <f>IF(($G$31&lt;=DATE(2028,12,31))*($H$31&gt;=DATE(2028,10,1)),$C$31 * $F$31 * MAX(0, MIN((YEAR($H$31)*12+MONTH($H$31)), (YEAR(DATE(2028,12,31))*12+MONTH(DATE(2028,12,31)))) - MAX((YEAR($G$31)*12+MONTH($G$31)), (YEAR(DATE(2028,10,1))*12+MONTH(DATE(2028,10,1)))) + 1),0)</f>
        <v/>
      </c>
      <c r="AQ31" s="16">
        <f>IF(AND($D$31 &gt;= DATE(2021,1,1), $D$31 &lt;= DATE(2021,3,31)), $C$31 * $E$31 * $F$31, 0)</f>
        <v/>
      </c>
      <c r="AR31" s="16">
        <f>IF(AND($D$31 &gt;= DATE(2021,4,1), $D$31 &lt;= DATE(2021,6,30)), $C$31 * $E$31 * $F$31, 0)</f>
        <v/>
      </c>
      <c r="AS31" s="16">
        <f>IF(AND($D$31 &gt;= DATE(2021,7,1), $D$31 &lt;= DATE(2021,9,30)), $C$31 * $E$31 * $F$31, 0)</f>
        <v/>
      </c>
      <c r="AT31" s="16">
        <f>IF(AND($D$31 &gt;= DATE(2021,10,1), $D$31 &lt;= DATE(2021,12,31)), $C$31 * $E$31 * $F$31, 0)</f>
        <v/>
      </c>
      <c r="AU31" s="16">
        <f>IF(AND($D$31 &gt;= DATE(2022,1,1), $D$31 &lt;= DATE(2022,3,31)), $C$31 * $E$31 * $F$31, 0)</f>
        <v/>
      </c>
      <c r="AV31" s="16">
        <f>IF(AND($D$31 &gt;= DATE(2022,4,1), $D$31 &lt;= DATE(2022,6,30)), $C$31 * $E$31 * $F$31, 0)</f>
        <v/>
      </c>
      <c r="AW31" s="16">
        <f>IF(AND($D$31 &gt;= DATE(2022,7,1), $D$31 &lt;= DATE(2022,9,30)), $C$31 * $E$31 * $F$31, 0)</f>
        <v/>
      </c>
      <c r="AX31" s="16">
        <f>IF(AND($D$31 &gt;= DATE(2022,10,1), $D$31 &lt;= DATE(2022,12,31)), $C$31 * $E$31 * $F$31, 0)</f>
        <v/>
      </c>
      <c r="AY31" s="16">
        <f>IF(AND($D$31 &gt;= DATE(2023,1,1), $D$31 &lt;= DATE(2023,3,31)), $C$31 * $E$31 * $F$31, 0)</f>
        <v/>
      </c>
      <c r="AZ31" s="16">
        <f>IF(AND($D$31 &gt;= DATE(2023,4,1), $D$31 &lt;= DATE(2023,6,30)), $C$31 * $E$31 * $F$31, 0)</f>
        <v/>
      </c>
      <c r="BA31" s="16">
        <f>IF(AND($D$31 &gt;= DATE(2023,7,1), $D$31 &lt;= DATE(2023,9,30)), $C$31 * $E$31 * $F$31, 0)</f>
        <v/>
      </c>
      <c r="BB31" s="16">
        <f>IF(AND($D$31 &gt;= DATE(2023,10,1), $D$31 &lt;= DATE(2023,12,31)), $C$31 * $E$31 * $F$31, 0)</f>
        <v/>
      </c>
      <c r="BC31" s="16">
        <f>IF(AND($D$31 &gt;= DATE(2024,1,1), $D$31 &lt;= DATE(2024,3,31)), $C$31 * $E$31 * $F$31, 0)</f>
        <v/>
      </c>
      <c r="BD31" s="16">
        <f>IF(AND($D$31 &gt;= DATE(2024,4,1), $D$31 &lt;= DATE(2024,6,30)), $C$31 * $E$31 * $F$31, 0)</f>
        <v/>
      </c>
      <c r="BE31" s="16">
        <f>IF(AND($D$31 &gt;= DATE(2024,7,1), $D$31 &lt;= DATE(2024,9,30)), $C$31 * $E$31 * $F$31, 0)</f>
        <v/>
      </c>
      <c r="BF31" s="16">
        <f>IF(AND($D$31 &gt;= DATE(2024,10,1), $D$31 &lt;= DATE(2024,12,31)), $C$31 * $E$31 * $F$31, 0)</f>
        <v/>
      </c>
      <c r="BG31" s="16">
        <f>IF(AND($D$31 &gt;= DATE(2025,1,1), $D$31 &lt;= DATE(2025,3,31)), $C$31 * $E$31 * $F$31, 0)</f>
        <v/>
      </c>
      <c r="BH31" s="16">
        <f>IF(AND($D$31 &gt;= DATE(2025,4,1), $D$31 &lt;= DATE(2025,6,30)), $C$31 * $E$31 * $F$31, 0)</f>
        <v/>
      </c>
      <c r="BI31" s="16">
        <f>IF(AND($D$31 &gt;= DATE(2025,7,1), $D$31 &lt;= DATE(2025,9,30)), $C$31 * $E$31 * $F$31, 0)</f>
        <v/>
      </c>
      <c r="BJ31" s="16">
        <f>IF(AND($D$31 &gt;= DATE(2025,10,1), $D$31 &lt;= DATE(2025,12,31)), $C$31 * $E$31 * $F$31, 0)</f>
        <v/>
      </c>
      <c r="BK31" s="16">
        <f>IF(AND($D$31 &gt;= DATE(2026,1,1), $D$31 &lt;= DATE(2026,3,31)), $C$31 * $E$31 * $F$31, 0)</f>
        <v/>
      </c>
      <c r="BL31" s="16">
        <f>IF(AND($D$31 &gt;= DATE(2026,4,1), $D$31 &lt;= DATE(2026,6,30)), $C$31 * $E$31 * $F$31, 0)</f>
        <v/>
      </c>
      <c r="BM31" s="16">
        <f>IF(AND($D$31 &gt;= DATE(2026,7,1), $D$31 &lt;= DATE(2026,9,30)), $C$31 * $E$31 * $F$31, 0)</f>
        <v/>
      </c>
      <c r="BN31" s="16">
        <f>IF(AND($D$31 &gt;= DATE(2026,10,1), $D$31 &lt;= DATE(2026,12,31)), $C$31 * $E$31 * $F$31, 0)</f>
        <v/>
      </c>
      <c r="BO31" s="16">
        <f>IF(AND($D$31 &gt;= DATE(2027,1,1), $D$31 &lt;= DATE(2027,3,31)), $C$31 * $E$31 * $F$31, 0)</f>
        <v/>
      </c>
      <c r="BP31" s="16">
        <f>IF(AND($D$31 &gt;= DATE(2027,4,1), $D$31 &lt;= DATE(2027,6,30)), $C$31 * $E$31 * $F$31, 0)</f>
        <v/>
      </c>
      <c r="BQ31" s="16">
        <f>IF(AND($D$31 &gt;= DATE(2027,7,1), $D$31 &lt;= DATE(2027,9,30)), $C$31 * $E$31 * $F$31, 0)</f>
        <v/>
      </c>
      <c r="BR31" s="16">
        <f>IF(AND($D$31 &gt;= DATE(2027,10,1), $D$31 &lt;= DATE(2027,12,31)), $C$31 * $E$31 * $F$31, 0)</f>
        <v/>
      </c>
      <c r="BS31" s="16">
        <f>IF(AND($D$31 &gt;= DATE(2028,1,1), $D$31 &lt;= DATE(2028,3,31)), $C$31 * $E$31 * $F$31, 0)</f>
        <v/>
      </c>
      <c r="BT31" s="16">
        <f>IF(AND($D$31 &gt;= DATE(2028,4,1), $D$31 &lt;= DATE(2028,6,30)), $C$31 * $E$31 * $F$31, 0)</f>
        <v/>
      </c>
      <c r="BU31" s="16">
        <f>IF(AND($D$31 &gt;= DATE(2028,7,1), $D$31 &lt;= DATE(2028,9,30)), $C$31 * $E$31 * $F$31, 0)</f>
        <v/>
      </c>
      <c r="BV31" s="16">
        <f>IF(AND($D$31 &gt;= DATE(2028,10,1), $D$31 &lt;= DATE(2028,12,31)), $C$31 * $E$31 * $F$31, 0)</f>
        <v/>
      </c>
    </row>
    <row r="32">
      <c r="B32" t="inlineStr">
        <is>
          <t>Northfield &gt; Quarry Dynamics &gt; Actuator Batch</t>
        </is>
      </c>
      <c r="C32" s="16" t="n">
        <v>110000</v>
      </c>
      <c r="D32" s="18" t="n">
        <v>46357</v>
      </c>
      <c r="E32" s="16" t="n">
        <v>4</v>
      </c>
      <c r="F32" s="19" t="n">
        <v>0.75</v>
      </c>
      <c r="G32" s="18" t="n">
        <v>46388</v>
      </c>
      <c r="H32" s="18" t="n">
        <v>46478</v>
      </c>
      <c r="I32" s="16">
        <f>$C$32 * $E$32</f>
        <v/>
      </c>
      <c r="J32" s="20">
        <f>$C$32 * $E$32 * $F$32</f>
        <v/>
      </c>
      <c r="K32" s="16">
        <f>IF(($G$32&lt;=DATE(2021,3,31))*($H$32&gt;=DATE(2021,1,1)),$C$32 * $F$32 * MAX(0, MIN((YEAR($H$32)*12+MONTH($H$32)), (YEAR(DATE(2021,3,31))*12+MONTH(DATE(2021,3,31)))) - MAX((YEAR($G$32)*12+MONTH($G$32)), (YEAR(DATE(2021,1,1))*12+MONTH(DATE(2021,1,1)))) + 1),0)</f>
        <v/>
      </c>
      <c r="L32" s="16">
        <f>IF(($G$32&lt;=DATE(2021,6,30))*($H$32&gt;=DATE(2021,4,1)),$C$32 * $F$32 * MAX(0, MIN((YEAR($H$32)*12+MONTH($H$32)), (YEAR(DATE(2021,6,30))*12+MONTH(DATE(2021,6,30)))) - MAX((YEAR($G$32)*12+MONTH($G$32)), (YEAR(DATE(2021,4,1))*12+MONTH(DATE(2021,4,1)))) + 1),0)</f>
        <v/>
      </c>
      <c r="M32" s="16">
        <f>IF(($G$32&lt;=DATE(2021,9,30))*($H$32&gt;=DATE(2021,7,1)),$C$32 * $F$32 * MAX(0, MIN((YEAR($H$32)*12+MONTH($H$32)), (YEAR(DATE(2021,9,30))*12+MONTH(DATE(2021,9,30)))) - MAX((YEAR($G$32)*12+MONTH($G$32)), (YEAR(DATE(2021,7,1))*12+MONTH(DATE(2021,7,1)))) + 1),0)</f>
        <v/>
      </c>
      <c r="N32" s="16">
        <f>IF(($G$32&lt;=DATE(2021,12,31))*($H$32&gt;=DATE(2021,10,1)),$C$32 * $F$32 * MAX(0, MIN((YEAR($H$32)*12+MONTH($H$32)), (YEAR(DATE(2021,12,31))*12+MONTH(DATE(2021,12,31)))) - MAX((YEAR($G$32)*12+MONTH($G$32)), (YEAR(DATE(2021,10,1))*12+MONTH(DATE(2021,10,1)))) + 1),0)</f>
        <v/>
      </c>
      <c r="O32" s="16">
        <f>IF(($G$32&lt;=DATE(2022,3,31))*($H$32&gt;=DATE(2022,1,1)),$C$32 * $F$32 * MAX(0, MIN((YEAR($H$32)*12+MONTH($H$32)), (YEAR(DATE(2022,3,31))*12+MONTH(DATE(2022,3,31)))) - MAX((YEAR($G$32)*12+MONTH($G$32)), (YEAR(DATE(2022,1,1))*12+MONTH(DATE(2022,1,1)))) + 1),0)</f>
        <v/>
      </c>
      <c r="P32" s="16">
        <f>IF(($G$32&lt;=DATE(2022,6,30))*($H$32&gt;=DATE(2022,4,1)),$C$32 * $F$32 * MAX(0, MIN((YEAR($H$32)*12+MONTH($H$32)), (YEAR(DATE(2022,6,30))*12+MONTH(DATE(2022,6,30)))) - MAX((YEAR($G$32)*12+MONTH($G$32)), (YEAR(DATE(2022,4,1))*12+MONTH(DATE(2022,4,1)))) + 1),0)</f>
        <v/>
      </c>
      <c r="Q32" s="16">
        <f>IF(($G$32&lt;=DATE(2022,9,30))*($H$32&gt;=DATE(2022,7,1)),$C$32 * $F$32 * MAX(0, MIN((YEAR($H$32)*12+MONTH($H$32)), (YEAR(DATE(2022,9,30))*12+MONTH(DATE(2022,9,30)))) - MAX((YEAR($G$32)*12+MONTH($G$32)), (YEAR(DATE(2022,7,1))*12+MONTH(DATE(2022,7,1)))) + 1),0)</f>
        <v/>
      </c>
      <c r="R32" s="16">
        <f>IF(($G$32&lt;=DATE(2022,12,31))*($H$32&gt;=DATE(2022,10,1)),$C$32 * $F$32 * MAX(0, MIN((YEAR($H$32)*12+MONTH($H$32)), (YEAR(DATE(2022,12,31))*12+MONTH(DATE(2022,12,31)))) - MAX((YEAR($G$32)*12+MONTH($G$32)), (YEAR(DATE(2022,10,1))*12+MONTH(DATE(2022,10,1)))) + 1),0)</f>
        <v/>
      </c>
      <c r="S32" s="16">
        <f>IF(($G$32&lt;=DATE(2023,3,31))*($H$32&gt;=DATE(2023,1,1)),$C$32 * $F$32 * MAX(0, MIN((YEAR($H$32)*12+MONTH($H$32)), (YEAR(DATE(2023,3,31))*12+MONTH(DATE(2023,3,31)))) - MAX((YEAR($G$32)*12+MONTH($G$32)), (YEAR(DATE(2023,1,1))*12+MONTH(DATE(2023,1,1)))) + 1),0)</f>
        <v/>
      </c>
      <c r="T32" s="16">
        <f>IF(($G$32&lt;=DATE(2023,6,30))*($H$32&gt;=DATE(2023,4,1)),$C$32 * $F$32 * MAX(0, MIN((YEAR($H$32)*12+MONTH($H$32)), (YEAR(DATE(2023,6,30))*12+MONTH(DATE(2023,6,30)))) - MAX((YEAR($G$32)*12+MONTH($G$32)), (YEAR(DATE(2023,4,1))*12+MONTH(DATE(2023,4,1)))) + 1),0)</f>
        <v/>
      </c>
      <c r="U32" s="16">
        <f>IF(($G$32&lt;=DATE(2023,9,30))*($H$32&gt;=DATE(2023,7,1)),$C$32 * $F$32 * MAX(0, MIN((YEAR($H$32)*12+MONTH($H$32)), (YEAR(DATE(2023,9,30))*12+MONTH(DATE(2023,9,30)))) - MAX((YEAR($G$32)*12+MONTH($G$32)), (YEAR(DATE(2023,7,1))*12+MONTH(DATE(2023,7,1)))) + 1),0)</f>
        <v/>
      </c>
      <c r="V32" s="16">
        <f>IF(($G$32&lt;=DATE(2023,12,31))*($H$32&gt;=DATE(2023,10,1)),$C$32 * $F$32 * MAX(0, MIN((YEAR($H$32)*12+MONTH($H$32)), (YEAR(DATE(2023,12,31))*12+MONTH(DATE(2023,12,31)))) - MAX((YEAR($G$32)*12+MONTH($G$32)), (YEAR(DATE(2023,10,1))*12+MONTH(DATE(2023,10,1)))) + 1),0)</f>
        <v/>
      </c>
      <c r="W32" s="16">
        <f>IF(($G$32&lt;=DATE(2024,3,31))*($H$32&gt;=DATE(2024,1,1)),$C$32 * $F$32 * MAX(0, MIN((YEAR($H$32)*12+MONTH($H$32)), (YEAR(DATE(2024,3,31))*12+MONTH(DATE(2024,3,31)))) - MAX((YEAR($G$32)*12+MONTH($G$32)), (YEAR(DATE(2024,1,1))*12+MONTH(DATE(2024,1,1)))) + 1),0)</f>
        <v/>
      </c>
      <c r="X32" s="16">
        <f>IF(($G$32&lt;=DATE(2024,6,30))*($H$32&gt;=DATE(2024,4,1)),$C$32 * $F$32 * MAX(0, MIN((YEAR($H$32)*12+MONTH($H$32)), (YEAR(DATE(2024,6,30))*12+MONTH(DATE(2024,6,30)))) - MAX((YEAR($G$32)*12+MONTH($G$32)), (YEAR(DATE(2024,4,1))*12+MONTH(DATE(2024,4,1)))) + 1),0)</f>
        <v/>
      </c>
      <c r="Y32" s="16">
        <f>IF(($G$32&lt;=DATE(2024,9,30))*($H$32&gt;=DATE(2024,7,1)),$C$32 * $F$32 * MAX(0, MIN((YEAR($H$32)*12+MONTH($H$32)), (YEAR(DATE(2024,9,30))*12+MONTH(DATE(2024,9,30)))) - MAX((YEAR($G$32)*12+MONTH($G$32)), (YEAR(DATE(2024,7,1))*12+MONTH(DATE(2024,7,1)))) + 1),0)</f>
        <v/>
      </c>
      <c r="Z32" s="16">
        <f>IF(($G$32&lt;=DATE(2024,12,31))*($H$32&gt;=DATE(2024,10,1)),$C$32 * $F$32 * MAX(0, MIN((YEAR($H$32)*12+MONTH($H$32)), (YEAR(DATE(2024,12,31))*12+MONTH(DATE(2024,12,31)))) - MAX((YEAR($G$32)*12+MONTH($G$32)), (YEAR(DATE(2024,10,1))*12+MONTH(DATE(2024,10,1)))) + 1),0)</f>
        <v/>
      </c>
      <c r="AA32" s="16">
        <f>IF(($G$32&lt;=DATE(2025,3,31))*($H$32&gt;=DATE(2025,1,1)),$C$32 * $F$32 * MAX(0, MIN((YEAR($H$32)*12+MONTH($H$32)), (YEAR(DATE(2025,3,31))*12+MONTH(DATE(2025,3,31)))) - MAX((YEAR($G$32)*12+MONTH($G$32)), (YEAR(DATE(2025,1,1))*12+MONTH(DATE(2025,1,1)))) + 1),0)</f>
        <v/>
      </c>
      <c r="AB32" s="16">
        <f>IF(($G$32&lt;=DATE(2025,6,30))*($H$32&gt;=DATE(2025,4,1)),$C$32 * $F$32 * MAX(0, MIN((YEAR($H$32)*12+MONTH($H$32)), (YEAR(DATE(2025,6,30))*12+MONTH(DATE(2025,6,30)))) - MAX((YEAR($G$32)*12+MONTH($G$32)), (YEAR(DATE(2025,4,1))*12+MONTH(DATE(2025,4,1)))) + 1),0)</f>
        <v/>
      </c>
      <c r="AC32" s="16">
        <f>IF(($G$32&lt;=DATE(2025,9,30))*($H$32&gt;=DATE(2025,7,1)),$C$32 * $F$32 * MAX(0, MIN((YEAR($H$32)*12+MONTH($H$32)), (YEAR(DATE(2025,9,30))*12+MONTH(DATE(2025,9,30)))) - MAX((YEAR($G$32)*12+MONTH($G$32)), (YEAR(DATE(2025,7,1))*12+MONTH(DATE(2025,7,1)))) + 1),0)</f>
        <v/>
      </c>
      <c r="AD32" s="16">
        <f>IF(($G$32&lt;=DATE(2025,12,31))*($H$32&gt;=DATE(2025,10,1)),$C$32 * $F$32 * MAX(0, MIN((YEAR($H$32)*12+MONTH($H$32)), (YEAR(DATE(2025,12,31))*12+MONTH(DATE(2025,12,31)))) - MAX((YEAR($G$32)*12+MONTH($G$32)), (YEAR(DATE(2025,10,1))*12+MONTH(DATE(2025,10,1)))) + 1),0)</f>
        <v/>
      </c>
      <c r="AE32" s="16">
        <f>IF(($G$32&lt;=DATE(2026,3,31))*($H$32&gt;=DATE(2026,1,1)),$C$32 * $F$32 * MAX(0, MIN((YEAR($H$32)*12+MONTH($H$32)), (YEAR(DATE(2026,3,31))*12+MONTH(DATE(2026,3,31)))) - MAX((YEAR($G$32)*12+MONTH($G$32)), (YEAR(DATE(2026,1,1))*12+MONTH(DATE(2026,1,1)))) + 1),0)</f>
        <v/>
      </c>
      <c r="AF32" s="16">
        <f>IF(($G$32&lt;=DATE(2026,6,30))*($H$32&gt;=DATE(2026,4,1)),$C$32 * $F$32 * MAX(0, MIN((YEAR($H$32)*12+MONTH($H$32)), (YEAR(DATE(2026,6,30))*12+MONTH(DATE(2026,6,30)))) - MAX((YEAR($G$32)*12+MONTH($G$32)), (YEAR(DATE(2026,4,1))*12+MONTH(DATE(2026,4,1)))) + 1),0)</f>
        <v/>
      </c>
      <c r="AG32" s="16">
        <f>IF(($G$32&lt;=DATE(2026,9,30))*($H$32&gt;=DATE(2026,7,1)),$C$32 * $F$32 * MAX(0, MIN((YEAR($H$32)*12+MONTH($H$32)), (YEAR(DATE(2026,9,30))*12+MONTH(DATE(2026,9,30)))) - MAX((YEAR($G$32)*12+MONTH($G$32)), (YEAR(DATE(2026,7,1))*12+MONTH(DATE(2026,7,1)))) + 1),0)</f>
        <v/>
      </c>
      <c r="AH32" s="16">
        <f>IF(($G$32&lt;=DATE(2026,12,31))*($H$32&gt;=DATE(2026,10,1)),$C$32 * $F$32 * MAX(0, MIN((YEAR($H$32)*12+MONTH($H$32)), (YEAR(DATE(2026,12,31))*12+MONTH(DATE(2026,12,31)))) - MAX((YEAR($G$32)*12+MONTH($G$32)), (YEAR(DATE(2026,10,1))*12+MONTH(DATE(2026,10,1)))) + 1),0)</f>
        <v/>
      </c>
      <c r="AI32" s="16">
        <f>IF(($G$32&lt;=DATE(2027,3,31))*($H$32&gt;=DATE(2027,1,1)),$C$32 * $F$32 * MAX(0, MIN((YEAR($H$32)*12+MONTH($H$32)), (YEAR(DATE(2027,3,31))*12+MONTH(DATE(2027,3,31)))) - MAX((YEAR($G$32)*12+MONTH($G$32)), (YEAR(DATE(2027,1,1))*12+MONTH(DATE(2027,1,1)))) + 1),0)</f>
        <v/>
      </c>
      <c r="AJ32" s="16">
        <f>IF(($G$32&lt;=DATE(2027,6,30))*($H$32&gt;=DATE(2027,4,1)),$C$32 * $F$32 * MAX(0, MIN((YEAR($H$32)*12+MONTH($H$32)), (YEAR(DATE(2027,6,30))*12+MONTH(DATE(2027,6,30)))) - MAX((YEAR($G$32)*12+MONTH($G$32)), (YEAR(DATE(2027,4,1))*12+MONTH(DATE(2027,4,1)))) + 1),0)</f>
        <v/>
      </c>
      <c r="AK32" s="16">
        <f>IF(($G$32&lt;=DATE(2027,9,30))*($H$32&gt;=DATE(2027,7,1)),$C$32 * $F$32 * MAX(0, MIN((YEAR($H$32)*12+MONTH($H$32)), (YEAR(DATE(2027,9,30))*12+MONTH(DATE(2027,9,30)))) - MAX((YEAR($G$32)*12+MONTH($G$32)), (YEAR(DATE(2027,7,1))*12+MONTH(DATE(2027,7,1)))) + 1),0)</f>
        <v/>
      </c>
      <c r="AL32" s="16">
        <f>IF(($G$32&lt;=DATE(2027,12,31))*($H$32&gt;=DATE(2027,10,1)),$C$32 * $F$32 * MAX(0, MIN((YEAR($H$32)*12+MONTH($H$32)), (YEAR(DATE(2027,12,31))*12+MONTH(DATE(2027,12,31)))) - MAX((YEAR($G$32)*12+MONTH($G$32)), (YEAR(DATE(2027,10,1))*12+MONTH(DATE(2027,10,1)))) + 1),0)</f>
        <v/>
      </c>
      <c r="AM32" s="16">
        <f>IF(($G$32&lt;=DATE(2028,3,31))*($H$32&gt;=DATE(2028,1,1)),$C$32 * $F$32 * MAX(0, MIN((YEAR($H$32)*12+MONTH($H$32)), (YEAR(DATE(2028,3,31))*12+MONTH(DATE(2028,3,31)))) - MAX((YEAR($G$32)*12+MONTH($G$32)), (YEAR(DATE(2028,1,1))*12+MONTH(DATE(2028,1,1)))) + 1),0)</f>
        <v/>
      </c>
      <c r="AN32" s="16">
        <f>IF(($G$32&lt;=DATE(2028,6,30))*($H$32&gt;=DATE(2028,4,1)),$C$32 * $F$32 * MAX(0, MIN((YEAR($H$32)*12+MONTH($H$32)), (YEAR(DATE(2028,6,30))*12+MONTH(DATE(2028,6,30)))) - MAX((YEAR($G$32)*12+MONTH($G$32)), (YEAR(DATE(2028,4,1))*12+MONTH(DATE(2028,4,1)))) + 1),0)</f>
        <v/>
      </c>
      <c r="AO32" s="16">
        <f>IF(($G$32&lt;=DATE(2028,9,30))*($H$32&gt;=DATE(2028,7,1)),$C$32 * $F$32 * MAX(0, MIN((YEAR($H$32)*12+MONTH($H$32)), (YEAR(DATE(2028,9,30))*12+MONTH(DATE(2028,9,30)))) - MAX((YEAR($G$32)*12+MONTH($G$32)), (YEAR(DATE(2028,7,1))*12+MONTH(DATE(2028,7,1)))) + 1),0)</f>
        <v/>
      </c>
      <c r="AP32" s="16">
        <f>IF(($G$32&lt;=DATE(2028,12,31))*($H$32&gt;=DATE(2028,10,1)),$C$32 * $F$32 * MAX(0, MIN((YEAR($H$32)*12+MONTH($H$32)), (YEAR(DATE(2028,12,31))*12+MONTH(DATE(2028,12,31)))) - MAX((YEAR($G$32)*12+MONTH($G$32)), (YEAR(DATE(2028,10,1))*12+MONTH(DATE(2028,10,1)))) + 1),0)</f>
        <v/>
      </c>
      <c r="AQ32" s="16">
        <f>IF(AND($D$32 &gt;= DATE(2021,1,1), $D$32 &lt;= DATE(2021,3,31)), $C$32 * $E$32 * $F$32, 0)</f>
        <v/>
      </c>
      <c r="AR32" s="16">
        <f>IF(AND($D$32 &gt;= DATE(2021,4,1), $D$32 &lt;= DATE(2021,6,30)), $C$32 * $E$32 * $F$32, 0)</f>
        <v/>
      </c>
      <c r="AS32" s="16">
        <f>IF(AND($D$32 &gt;= DATE(2021,7,1), $D$32 &lt;= DATE(2021,9,30)), $C$32 * $E$32 * $F$32, 0)</f>
        <v/>
      </c>
      <c r="AT32" s="16">
        <f>IF(AND($D$32 &gt;= DATE(2021,10,1), $D$32 &lt;= DATE(2021,12,31)), $C$32 * $E$32 * $F$32, 0)</f>
        <v/>
      </c>
      <c r="AU32" s="16">
        <f>IF(AND($D$32 &gt;= DATE(2022,1,1), $D$32 &lt;= DATE(2022,3,31)), $C$32 * $E$32 * $F$32, 0)</f>
        <v/>
      </c>
      <c r="AV32" s="16">
        <f>IF(AND($D$32 &gt;= DATE(2022,4,1), $D$32 &lt;= DATE(2022,6,30)), $C$32 * $E$32 * $F$32, 0)</f>
        <v/>
      </c>
      <c r="AW32" s="16">
        <f>IF(AND($D$32 &gt;= DATE(2022,7,1), $D$32 &lt;= DATE(2022,9,30)), $C$32 * $E$32 * $F$32, 0)</f>
        <v/>
      </c>
      <c r="AX32" s="16">
        <f>IF(AND($D$32 &gt;= DATE(2022,10,1), $D$32 &lt;= DATE(2022,12,31)), $C$32 * $E$32 * $F$32, 0)</f>
        <v/>
      </c>
      <c r="AY32" s="16">
        <f>IF(AND($D$32 &gt;= DATE(2023,1,1), $D$32 &lt;= DATE(2023,3,31)), $C$32 * $E$32 * $F$32, 0)</f>
        <v/>
      </c>
      <c r="AZ32" s="16">
        <f>IF(AND($D$32 &gt;= DATE(2023,4,1), $D$32 &lt;= DATE(2023,6,30)), $C$32 * $E$32 * $F$32, 0)</f>
        <v/>
      </c>
      <c r="BA32" s="16">
        <f>IF(AND($D$32 &gt;= DATE(2023,7,1), $D$32 &lt;= DATE(2023,9,30)), $C$32 * $E$32 * $F$32, 0)</f>
        <v/>
      </c>
      <c r="BB32" s="16">
        <f>IF(AND($D$32 &gt;= DATE(2023,10,1), $D$32 &lt;= DATE(2023,12,31)), $C$32 * $E$32 * $F$32, 0)</f>
        <v/>
      </c>
      <c r="BC32" s="16">
        <f>IF(AND($D$32 &gt;= DATE(2024,1,1), $D$32 &lt;= DATE(2024,3,31)), $C$32 * $E$32 * $F$32, 0)</f>
        <v/>
      </c>
      <c r="BD32" s="16">
        <f>IF(AND($D$32 &gt;= DATE(2024,4,1), $D$32 &lt;= DATE(2024,6,30)), $C$32 * $E$32 * $F$32, 0)</f>
        <v/>
      </c>
      <c r="BE32" s="16">
        <f>IF(AND($D$32 &gt;= DATE(2024,7,1), $D$32 &lt;= DATE(2024,9,30)), $C$32 * $E$32 * $F$32, 0)</f>
        <v/>
      </c>
      <c r="BF32" s="16">
        <f>IF(AND($D$32 &gt;= DATE(2024,10,1), $D$32 &lt;= DATE(2024,12,31)), $C$32 * $E$32 * $F$32, 0)</f>
        <v/>
      </c>
      <c r="BG32" s="16">
        <f>IF(AND($D$32 &gt;= DATE(2025,1,1), $D$32 &lt;= DATE(2025,3,31)), $C$32 * $E$32 * $F$32, 0)</f>
        <v/>
      </c>
      <c r="BH32" s="16">
        <f>IF(AND($D$32 &gt;= DATE(2025,4,1), $D$32 &lt;= DATE(2025,6,30)), $C$32 * $E$32 * $F$32, 0)</f>
        <v/>
      </c>
      <c r="BI32" s="16">
        <f>IF(AND($D$32 &gt;= DATE(2025,7,1), $D$32 &lt;= DATE(2025,9,30)), $C$32 * $E$32 * $F$32, 0)</f>
        <v/>
      </c>
      <c r="BJ32" s="16">
        <f>IF(AND($D$32 &gt;= DATE(2025,10,1), $D$32 &lt;= DATE(2025,12,31)), $C$32 * $E$32 * $F$32, 0)</f>
        <v/>
      </c>
      <c r="BK32" s="16">
        <f>IF(AND($D$32 &gt;= DATE(2026,1,1), $D$32 &lt;= DATE(2026,3,31)), $C$32 * $E$32 * $F$32, 0)</f>
        <v/>
      </c>
      <c r="BL32" s="16">
        <f>IF(AND($D$32 &gt;= DATE(2026,4,1), $D$32 &lt;= DATE(2026,6,30)), $C$32 * $E$32 * $F$32, 0)</f>
        <v/>
      </c>
      <c r="BM32" s="16">
        <f>IF(AND($D$32 &gt;= DATE(2026,7,1), $D$32 &lt;= DATE(2026,9,30)), $C$32 * $E$32 * $F$32, 0)</f>
        <v/>
      </c>
      <c r="BN32" s="16">
        <f>IF(AND($D$32 &gt;= DATE(2026,10,1), $D$32 &lt;= DATE(2026,12,31)), $C$32 * $E$32 * $F$32, 0)</f>
        <v/>
      </c>
      <c r="BO32" s="16">
        <f>IF(AND($D$32 &gt;= DATE(2027,1,1), $D$32 &lt;= DATE(2027,3,31)), $C$32 * $E$32 * $F$32, 0)</f>
        <v/>
      </c>
      <c r="BP32" s="16">
        <f>IF(AND($D$32 &gt;= DATE(2027,4,1), $D$32 &lt;= DATE(2027,6,30)), $C$32 * $E$32 * $F$32, 0)</f>
        <v/>
      </c>
      <c r="BQ32" s="16">
        <f>IF(AND($D$32 &gt;= DATE(2027,7,1), $D$32 &lt;= DATE(2027,9,30)), $C$32 * $E$32 * $F$32, 0)</f>
        <v/>
      </c>
      <c r="BR32" s="16">
        <f>IF(AND($D$32 &gt;= DATE(2027,10,1), $D$32 &lt;= DATE(2027,12,31)), $C$32 * $E$32 * $F$32, 0)</f>
        <v/>
      </c>
      <c r="BS32" s="16">
        <f>IF(AND($D$32 &gt;= DATE(2028,1,1), $D$32 &lt;= DATE(2028,3,31)), $C$32 * $E$32 * $F$32, 0)</f>
        <v/>
      </c>
      <c r="BT32" s="16">
        <f>IF(AND($D$32 &gt;= DATE(2028,4,1), $D$32 &lt;= DATE(2028,6,30)), $C$32 * $E$32 * $F$32, 0)</f>
        <v/>
      </c>
      <c r="BU32" s="16">
        <f>IF(AND($D$32 &gt;= DATE(2028,7,1), $D$32 &lt;= DATE(2028,9,30)), $C$32 * $E$32 * $F$32, 0)</f>
        <v/>
      </c>
      <c r="BV32" s="16">
        <f>IF(AND($D$32 &gt;= DATE(2028,10,1), $D$32 &lt;= DATE(2028,12,31)), $C$32 * $E$32 * $F$32, 0)</f>
        <v/>
      </c>
    </row>
    <row r="33">
      <c r="B33" t="inlineStr">
        <is>
          <t>Westgate &gt; Delmar Mining &gt; Preliminary Design</t>
        </is>
      </c>
      <c r="C33" s="16" t="n">
        <v>62500</v>
      </c>
      <c r="D33" s="18" t="n">
        <v>46357</v>
      </c>
      <c r="E33" s="16" t="n">
        <v>3</v>
      </c>
      <c r="F33" s="19" t="n">
        <v>0.2</v>
      </c>
      <c r="G33" s="18" t="n">
        <v>46388</v>
      </c>
      <c r="H33" s="18" t="n">
        <v>46447</v>
      </c>
      <c r="I33" s="16">
        <f>$C$33 * $E$33</f>
        <v/>
      </c>
      <c r="J33" s="20">
        <f>$C$33 * $E$33 * $F$33</f>
        <v/>
      </c>
      <c r="K33" s="16">
        <f>IF(($G$33&lt;=DATE(2021,3,31))*($H$33&gt;=DATE(2021,1,1)),$C$33 * $F$33 * MAX(0, MIN((YEAR($H$33)*12+MONTH($H$33)), (YEAR(DATE(2021,3,31))*12+MONTH(DATE(2021,3,31)))) - MAX((YEAR($G$33)*12+MONTH($G$33)), (YEAR(DATE(2021,1,1))*12+MONTH(DATE(2021,1,1)))) + 1),0)</f>
        <v/>
      </c>
      <c r="L33" s="16">
        <f>IF(($G$33&lt;=DATE(2021,6,30))*($H$33&gt;=DATE(2021,4,1)),$C$33 * $F$33 * MAX(0, MIN((YEAR($H$33)*12+MONTH($H$33)), (YEAR(DATE(2021,6,30))*12+MONTH(DATE(2021,6,30)))) - MAX((YEAR($G$33)*12+MONTH($G$33)), (YEAR(DATE(2021,4,1))*12+MONTH(DATE(2021,4,1)))) + 1),0)</f>
        <v/>
      </c>
      <c r="M33" s="16">
        <f>IF(($G$33&lt;=DATE(2021,9,30))*($H$33&gt;=DATE(2021,7,1)),$C$33 * $F$33 * MAX(0, MIN((YEAR($H$33)*12+MONTH($H$33)), (YEAR(DATE(2021,9,30))*12+MONTH(DATE(2021,9,30)))) - MAX((YEAR($G$33)*12+MONTH($G$33)), (YEAR(DATE(2021,7,1))*12+MONTH(DATE(2021,7,1)))) + 1),0)</f>
        <v/>
      </c>
      <c r="N33" s="16">
        <f>IF(($G$33&lt;=DATE(2021,12,31))*($H$33&gt;=DATE(2021,10,1)),$C$33 * $F$33 * MAX(0, MIN((YEAR($H$33)*12+MONTH($H$33)), (YEAR(DATE(2021,12,31))*12+MONTH(DATE(2021,12,31)))) - MAX((YEAR($G$33)*12+MONTH($G$33)), (YEAR(DATE(2021,10,1))*12+MONTH(DATE(2021,10,1)))) + 1),0)</f>
        <v/>
      </c>
      <c r="O33" s="16">
        <f>IF(($G$33&lt;=DATE(2022,3,31))*($H$33&gt;=DATE(2022,1,1)),$C$33 * $F$33 * MAX(0, MIN((YEAR($H$33)*12+MONTH($H$33)), (YEAR(DATE(2022,3,31))*12+MONTH(DATE(2022,3,31)))) - MAX((YEAR($G$33)*12+MONTH($G$33)), (YEAR(DATE(2022,1,1))*12+MONTH(DATE(2022,1,1)))) + 1),0)</f>
        <v/>
      </c>
      <c r="P33" s="16">
        <f>IF(($G$33&lt;=DATE(2022,6,30))*($H$33&gt;=DATE(2022,4,1)),$C$33 * $F$33 * MAX(0, MIN((YEAR($H$33)*12+MONTH($H$33)), (YEAR(DATE(2022,6,30))*12+MONTH(DATE(2022,6,30)))) - MAX((YEAR($G$33)*12+MONTH($G$33)), (YEAR(DATE(2022,4,1))*12+MONTH(DATE(2022,4,1)))) + 1),0)</f>
        <v/>
      </c>
      <c r="Q33" s="16">
        <f>IF(($G$33&lt;=DATE(2022,9,30))*($H$33&gt;=DATE(2022,7,1)),$C$33 * $F$33 * MAX(0, MIN((YEAR($H$33)*12+MONTH($H$33)), (YEAR(DATE(2022,9,30))*12+MONTH(DATE(2022,9,30)))) - MAX((YEAR($G$33)*12+MONTH($G$33)), (YEAR(DATE(2022,7,1))*12+MONTH(DATE(2022,7,1)))) + 1),0)</f>
        <v/>
      </c>
      <c r="R33" s="16">
        <f>IF(($G$33&lt;=DATE(2022,12,31))*($H$33&gt;=DATE(2022,10,1)),$C$33 * $F$33 * MAX(0, MIN((YEAR($H$33)*12+MONTH($H$33)), (YEAR(DATE(2022,12,31))*12+MONTH(DATE(2022,12,31)))) - MAX((YEAR($G$33)*12+MONTH($G$33)), (YEAR(DATE(2022,10,1))*12+MONTH(DATE(2022,10,1)))) + 1),0)</f>
        <v/>
      </c>
      <c r="S33" s="16">
        <f>IF(($G$33&lt;=DATE(2023,3,31))*($H$33&gt;=DATE(2023,1,1)),$C$33 * $F$33 * MAX(0, MIN((YEAR($H$33)*12+MONTH($H$33)), (YEAR(DATE(2023,3,31))*12+MONTH(DATE(2023,3,31)))) - MAX((YEAR($G$33)*12+MONTH($G$33)), (YEAR(DATE(2023,1,1))*12+MONTH(DATE(2023,1,1)))) + 1),0)</f>
        <v/>
      </c>
      <c r="T33" s="16">
        <f>IF(($G$33&lt;=DATE(2023,6,30))*($H$33&gt;=DATE(2023,4,1)),$C$33 * $F$33 * MAX(0, MIN((YEAR($H$33)*12+MONTH($H$33)), (YEAR(DATE(2023,6,30))*12+MONTH(DATE(2023,6,30)))) - MAX((YEAR($G$33)*12+MONTH($G$33)), (YEAR(DATE(2023,4,1))*12+MONTH(DATE(2023,4,1)))) + 1),0)</f>
        <v/>
      </c>
      <c r="U33" s="16">
        <f>IF(($G$33&lt;=DATE(2023,9,30))*($H$33&gt;=DATE(2023,7,1)),$C$33 * $F$33 * MAX(0, MIN((YEAR($H$33)*12+MONTH($H$33)), (YEAR(DATE(2023,9,30))*12+MONTH(DATE(2023,9,30)))) - MAX((YEAR($G$33)*12+MONTH($G$33)), (YEAR(DATE(2023,7,1))*12+MONTH(DATE(2023,7,1)))) + 1),0)</f>
        <v/>
      </c>
      <c r="V33" s="16">
        <f>IF(($G$33&lt;=DATE(2023,12,31))*($H$33&gt;=DATE(2023,10,1)),$C$33 * $F$33 * MAX(0, MIN((YEAR($H$33)*12+MONTH($H$33)), (YEAR(DATE(2023,12,31))*12+MONTH(DATE(2023,12,31)))) - MAX((YEAR($G$33)*12+MONTH($G$33)), (YEAR(DATE(2023,10,1))*12+MONTH(DATE(2023,10,1)))) + 1),0)</f>
        <v/>
      </c>
      <c r="W33" s="16">
        <f>IF(($G$33&lt;=DATE(2024,3,31))*($H$33&gt;=DATE(2024,1,1)),$C$33 * $F$33 * MAX(0, MIN((YEAR($H$33)*12+MONTH($H$33)), (YEAR(DATE(2024,3,31))*12+MONTH(DATE(2024,3,31)))) - MAX((YEAR($G$33)*12+MONTH($G$33)), (YEAR(DATE(2024,1,1))*12+MONTH(DATE(2024,1,1)))) + 1),0)</f>
        <v/>
      </c>
      <c r="X33" s="16">
        <f>IF(($G$33&lt;=DATE(2024,6,30))*($H$33&gt;=DATE(2024,4,1)),$C$33 * $F$33 * MAX(0, MIN((YEAR($H$33)*12+MONTH($H$33)), (YEAR(DATE(2024,6,30))*12+MONTH(DATE(2024,6,30)))) - MAX((YEAR($G$33)*12+MONTH($G$33)), (YEAR(DATE(2024,4,1))*12+MONTH(DATE(2024,4,1)))) + 1),0)</f>
        <v/>
      </c>
      <c r="Y33" s="16">
        <f>IF(($G$33&lt;=DATE(2024,9,30))*($H$33&gt;=DATE(2024,7,1)),$C$33 * $F$33 * MAX(0, MIN((YEAR($H$33)*12+MONTH($H$33)), (YEAR(DATE(2024,9,30))*12+MONTH(DATE(2024,9,30)))) - MAX((YEAR($G$33)*12+MONTH($G$33)), (YEAR(DATE(2024,7,1))*12+MONTH(DATE(2024,7,1)))) + 1),0)</f>
        <v/>
      </c>
      <c r="Z33" s="16">
        <f>IF(($G$33&lt;=DATE(2024,12,31))*($H$33&gt;=DATE(2024,10,1)),$C$33 * $F$33 * MAX(0, MIN((YEAR($H$33)*12+MONTH($H$33)), (YEAR(DATE(2024,12,31))*12+MONTH(DATE(2024,12,31)))) - MAX((YEAR($G$33)*12+MONTH($G$33)), (YEAR(DATE(2024,10,1))*12+MONTH(DATE(2024,10,1)))) + 1),0)</f>
        <v/>
      </c>
      <c r="AA33" s="16">
        <f>IF(($G$33&lt;=DATE(2025,3,31))*($H$33&gt;=DATE(2025,1,1)),$C$33 * $F$33 * MAX(0, MIN((YEAR($H$33)*12+MONTH($H$33)), (YEAR(DATE(2025,3,31))*12+MONTH(DATE(2025,3,31)))) - MAX((YEAR($G$33)*12+MONTH($G$33)), (YEAR(DATE(2025,1,1))*12+MONTH(DATE(2025,1,1)))) + 1),0)</f>
        <v/>
      </c>
      <c r="AB33" s="16">
        <f>IF(($G$33&lt;=DATE(2025,6,30))*($H$33&gt;=DATE(2025,4,1)),$C$33 * $F$33 * MAX(0, MIN((YEAR($H$33)*12+MONTH($H$33)), (YEAR(DATE(2025,6,30))*12+MONTH(DATE(2025,6,30)))) - MAX((YEAR($G$33)*12+MONTH($G$33)), (YEAR(DATE(2025,4,1))*12+MONTH(DATE(2025,4,1)))) + 1),0)</f>
        <v/>
      </c>
      <c r="AC33" s="16">
        <f>IF(($G$33&lt;=DATE(2025,9,30))*($H$33&gt;=DATE(2025,7,1)),$C$33 * $F$33 * MAX(0, MIN((YEAR($H$33)*12+MONTH($H$33)), (YEAR(DATE(2025,9,30))*12+MONTH(DATE(2025,9,30)))) - MAX((YEAR($G$33)*12+MONTH($G$33)), (YEAR(DATE(2025,7,1))*12+MONTH(DATE(2025,7,1)))) + 1),0)</f>
        <v/>
      </c>
      <c r="AD33" s="16">
        <f>IF(($G$33&lt;=DATE(2025,12,31))*($H$33&gt;=DATE(2025,10,1)),$C$33 * $F$33 * MAX(0, MIN((YEAR($H$33)*12+MONTH($H$33)), (YEAR(DATE(2025,12,31))*12+MONTH(DATE(2025,12,31)))) - MAX((YEAR($G$33)*12+MONTH($G$33)), (YEAR(DATE(2025,10,1))*12+MONTH(DATE(2025,10,1)))) + 1),0)</f>
        <v/>
      </c>
      <c r="AE33" s="16">
        <f>IF(($G$33&lt;=DATE(2026,3,31))*($H$33&gt;=DATE(2026,1,1)),$C$33 * $F$33 * MAX(0, MIN((YEAR($H$33)*12+MONTH($H$33)), (YEAR(DATE(2026,3,31))*12+MONTH(DATE(2026,3,31)))) - MAX((YEAR($G$33)*12+MONTH($G$33)), (YEAR(DATE(2026,1,1))*12+MONTH(DATE(2026,1,1)))) + 1),0)</f>
        <v/>
      </c>
      <c r="AF33" s="16">
        <f>IF(($G$33&lt;=DATE(2026,6,30))*($H$33&gt;=DATE(2026,4,1)),$C$33 * $F$33 * MAX(0, MIN((YEAR($H$33)*12+MONTH($H$33)), (YEAR(DATE(2026,6,30))*12+MONTH(DATE(2026,6,30)))) - MAX((YEAR($G$33)*12+MONTH($G$33)), (YEAR(DATE(2026,4,1))*12+MONTH(DATE(2026,4,1)))) + 1),0)</f>
        <v/>
      </c>
      <c r="AG33" s="16">
        <f>IF(($G$33&lt;=DATE(2026,9,30))*($H$33&gt;=DATE(2026,7,1)),$C$33 * $F$33 * MAX(0, MIN((YEAR($H$33)*12+MONTH($H$33)), (YEAR(DATE(2026,9,30))*12+MONTH(DATE(2026,9,30)))) - MAX((YEAR($G$33)*12+MONTH($G$33)), (YEAR(DATE(2026,7,1))*12+MONTH(DATE(2026,7,1)))) + 1),0)</f>
        <v/>
      </c>
      <c r="AH33" s="16">
        <f>IF(($G$33&lt;=DATE(2026,12,31))*($H$33&gt;=DATE(2026,10,1)),$C$33 * $F$33 * MAX(0, MIN((YEAR($H$33)*12+MONTH($H$33)), (YEAR(DATE(2026,12,31))*12+MONTH(DATE(2026,12,31)))) - MAX((YEAR($G$33)*12+MONTH($G$33)), (YEAR(DATE(2026,10,1))*12+MONTH(DATE(2026,10,1)))) + 1),0)</f>
        <v/>
      </c>
      <c r="AI33" s="16">
        <f>IF(($G$33&lt;=DATE(2027,3,31))*($H$33&gt;=DATE(2027,1,1)),$C$33 * $F$33 * MAX(0, MIN((YEAR($H$33)*12+MONTH($H$33)), (YEAR(DATE(2027,3,31))*12+MONTH(DATE(2027,3,31)))) - MAX((YEAR($G$33)*12+MONTH($G$33)), (YEAR(DATE(2027,1,1))*12+MONTH(DATE(2027,1,1)))) + 1),0)</f>
        <v/>
      </c>
      <c r="AJ33" s="16">
        <f>IF(($G$33&lt;=DATE(2027,6,30))*($H$33&gt;=DATE(2027,4,1)),$C$33 * $F$33 * MAX(0, MIN((YEAR($H$33)*12+MONTH($H$33)), (YEAR(DATE(2027,6,30))*12+MONTH(DATE(2027,6,30)))) - MAX((YEAR($G$33)*12+MONTH($G$33)), (YEAR(DATE(2027,4,1))*12+MONTH(DATE(2027,4,1)))) + 1),0)</f>
        <v/>
      </c>
      <c r="AK33" s="16">
        <f>IF(($G$33&lt;=DATE(2027,9,30))*($H$33&gt;=DATE(2027,7,1)),$C$33 * $F$33 * MAX(0, MIN((YEAR($H$33)*12+MONTH($H$33)), (YEAR(DATE(2027,9,30))*12+MONTH(DATE(2027,9,30)))) - MAX((YEAR($G$33)*12+MONTH($G$33)), (YEAR(DATE(2027,7,1))*12+MONTH(DATE(2027,7,1)))) + 1),0)</f>
        <v/>
      </c>
      <c r="AL33" s="16">
        <f>IF(($G$33&lt;=DATE(2027,12,31))*($H$33&gt;=DATE(2027,10,1)),$C$33 * $F$33 * MAX(0, MIN((YEAR($H$33)*12+MONTH($H$33)), (YEAR(DATE(2027,12,31))*12+MONTH(DATE(2027,12,31)))) - MAX((YEAR($G$33)*12+MONTH($G$33)), (YEAR(DATE(2027,10,1))*12+MONTH(DATE(2027,10,1)))) + 1),0)</f>
        <v/>
      </c>
      <c r="AM33" s="16">
        <f>IF(($G$33&lt;=DATE(2028,3,31))*($H$33&gt;=DATE(2028,1,1)),$C$33 * $F$33 * MAX(0, MIN((YEAR($H$33)*12+MONTH($H$33)), (YEAR(DATE(2028,3,31))*12+MONTH(DATE(2028,3,31)))) - MAX((YEAR($G$33)*12+MONTH($G$33)), (YEAR(DATE(2028,1,1))*12+MONTH(DATE(2028,1,1)))) + 1),0)</f>
        <v/>
      </c>
      <c r="AN33" s="16">
        <f>IF(($G$33&lt;=DATE(2028,6,30))*($H$33&gt;=DATE(2028,4,1)),$C$33 * $F$33 * MAX(0, MIN((YEAR($H$33)*12+MONTH($H$33)), (YEAR(DATE(2028,6,30))*12+MONTH(DATE(2028,6,30)))) - MAX((YEAR($G$33)*12+MONTH($G$33)), (YEAR(DATE(2028,4,1))*12+MONTH(DATE(2028,4,1)))) + 1),0)</f>
        <v/>
      </c>
      <c r="AO33" s="16">
        <f>IF(($G$33&lt;=DATE(2028,9,30))*($H$33&gt;=DATE(2028,7,1)),$C$33 * $F$33 * MAX(0, MIN((YEAR($H$33)*12+MONTH($H$33)), (YEAR(DATE(2028,9,30))*12+MONTH(DATE(2028,9,30)))) - MAX((YEAR($G$33)*12+MONTH($G$33)), (YEAR(DATE(2028,7,1))*12+MONTH(DATE(2028,7,1)))) + 1),0)</f>
        <v/>
      </c>
      <c r="AP33" s="16">
        <f>IF(($G$33&lt;=DATE(2028,12,31))*($H$33&gt;=DATE(2028,10,1)),$C$33 * $F$33 * MAX(0, MIN((YEAR($H$33)*12+MONTH($H$33)), (YEAR(DATE(2028,12,31))*12+MONTH(DATE(2028,12,31)))) - MAX((YEAR($G$33)*12+MONTH($G$33)), (YEAR(DATE(2028,10,1))*12+MONTH(DATE(2028,10,1)))) + 1),0)</f>
        <v/>
      </c>
      <c r="AQ33" s="16">
        <f>IF(AND($D$33 &gt;= DATE(2021,1,1), $D$33 &lt;= DATE(2021,3,31)), $C$33 * $E$33 * $F$33, 0)</f>
        <v/>
      </c>
      <c r="AR33" s="16">
        <f>IF(AND($D$33 &gt;= DATE(2021,4,1), $D$33 &lt;= DATE(2021,6,30)), $C$33 * $E$33 * $F$33, 0)</f>
        <v/>
      </c>
      <c r="AS33" s="16">
        <f>IF(AND($D$33 &gt;= DATE(2021,7,1), $D$33 &lt;= DATE(2021,9,30)), $C$33 * $E$33 * $F$33, 0)</f>
        <v/>
      </c>
      <c r="AT33" s="16">
        <f>IF(AND($D$33 &gt;= DATE(2021,10,1), $D$33 &lt;= DATE(2021,12,31)), $C$33 * $E$33 * $F$33, 0)</f>
        <v/>
      </c>
      <c r="AU33" s="16">
        <f>IF(AND($D$33 &gt;= DATE(2022,1,1), $D$33 &lt;= DATE(2022,3,31)), $C$33 * $E$33 * $F$33, 0)</f>
        <v/>
      </c>
      <c r="AV33" s="16">
        <f>IF(AND($D$33 &gt;= DATE(2022,4,1), $D$33 &lt;= DATE(2022,6,30)), $C$33 * $E$33 * $F$33, 0)</f>
        <v/>
      </c>
      <c r="AW33" s="16">
        <f>IF(AND($D$33 &gt;= DATE(2022,7,1), $D$33 &lt;= DATE(2022,9,30)), $C$33 * $E$33 * $F$33, 0)</f>
        <v/>
      </c>
      <c r="AX33" s="16">
        <f>IF(AND($D$33 &gt;= DATE(2022,10,1), $D$33 &lt;= DATE(2022,12,31)), $C$33 * $E$33 * $F$33, 0)</f>
        <v/>
      </c>
      <c r="AY33" s="16">
        <f>IF(AND($D$33 &gt;= DATE(2023,1,1), $D$33 &lt;= DATE(2023,3,31)), $C$33 * $E$33 * $F$33, 0)</f>
        <v/>
      </c>
      <c r="AZ33" s="16">
        <f>IF(AND($D$33 &gt;= DATE(2023,4,1), $D$33 &lt;= DATE(2023,6,30)), $C$33 * $E$33 * $F$33, 0)</f>
        <v/>
      </c>
      <c r="BA33" s="16">
        <f>IF(AND($D$33 &gt;= DATE(2023,7,1), $D$33 &lt;= DATE(2023,9,30)), $C$33 * $E$33 * $F$33, 0)</f>
        <v/>
      </c>
      <c r="BB33" s="16">
        <f>IF(AND($D$33 &gt;= DATE(2023,10,1), $D$33 &lt;= DATE(2023,12,31)), $C$33 * $E$33 * $F$33, 0)</f>
        <v/>
      </c>
      <c r="BC33" s="16">
        <f>IF(AND($D$33 &gt;= DATE(2024,1,1), $D$33 &lt;= DATE(2024,3,31)), $C$33 * $E$33 * $F$33, 0)</f>
        <v/>
      </c>
      <c r="BD33" s="16">
        <f>IF(AND($D$33 &gt;= DATE(2024,4,1), $D$33 &lt;= DATE(2024,6,30)), $C$33 * $E$33 * $F$33, 0)</f>
        <v/>
      </c>
      <c r="BE33" s="16">
        <f>IF(AND($D$33 &gt;= DATE(2024,7,1), $D$33 &lt;= DATE(2024,9,30)), $C$33 * $E$33 * $F$33, 0)</f>
        <v/>
      </c>
      <c r="BF33" s="16">
        <f>IF(AND($D$33 &gt;= DATE(2024,10,1), $D$33 &lt;= DATE(2024,12,31)), $C$33 * $E$33 * $F$33, 0)</f>
        <v/>
      </c>
      <c r="BG33" s="16">
        <f>IF(AND($D$33 &gt;= DATE(2025,1,1), $D$33 &lt;= DATE(2025,3,31)), $C$33 * $E$33 * $F$33, 0)</f>
        <v/>
      </c>
      <c r="BH33" s="16">
        <f>IF(AND($D$33 &gt;= DATE(2025,4,1), $D$33 &lt;= DATE(2025,6,30)), $C$33 * $E$33 * $F$33, 0)</f>
        <v/>
      </c>
      <c r="BI33" s="16">
        <f>IF(AND($D$33 &gt;= DATE(2025,7,1), $D$33 &lt;= DATE(2025,9,30)), $C$33 * $E$33 * $F$33, 0)</f>
        <v/>
      </c>
      <c r="BJ33" s="16">
        <f>IF(AND($D$33 &gt;= DATE(2025,10,1), $D$33 &lt;= DATE(2025,12,31)), $C$33 * $E$33 * $F$33, 0)</f>
        <v/>
      </c>
      <c r="BK33" s="16">
        <f>IF(AND($D$33 &gt;= DATE(2026,1,1), $D$33 &lt;= DATE(2026,3,31)), $C$33 * $E$33 * $F$33, 0)</f>
        <v/>
      </c>
      <c r="BL33" s="16">
        <f>IF(AND($D$33 &gt;= DATE(2026,4,1), $D$33 &lt;= DATE(2026,6,30)), $C$33 * $E$33 * $F$33, 0)</f>
        <v/>
      </c>
      <c r="BM33" s="16">
        <f>IF(AND($D$33 &gt;= DATE(2026,7,1), $D$33 &lt;= DATE(2026,9,30)), $C$33 * $E$33 * $F$33, 0)</f>
        <v/>
      </c>
      <c r="BN33" s="16">
        <f>IF(AND($D$33 &gt;= DATE(2026,10,1), $D$33 &lt;= DATE(2026,12,31)), $C$33 * $E$33 * $F$33, 0)</f>
        <v/>
      </c>
      <c r="BO33" s="16">
        <f>IF(AND($D$33 &gt;= DATE(2027,1,1), $D$33 &lt;= DATE(2027,3,31)), $C$33 * $E$33 * $F$33, 0)</f>
        <v/>
      </c>
      <c r="BP33" s="16">
        <f>IF(AND($D$33 &gt;= DATE(2027,4,1), $D$33 &lt;= DATE(2027,6,30)), $C$33 * $E$33 * $F$33, 0)</f>
        <v/>
      </c>
      <c r="BQ33" s="16">
        <f>IF(AND($D$33 &gt;= DATE(2027,7,1), $D$33 &lt;= DATE(2027,9,30)), $C$33 * $E$33 * $F$33, 0)</f>
        <v/>
      </c>
      <c r="BR33" s="16">
        <f>IF(AND($D$33 &gt;= DATE(2027,10,1), $D$33 &lt;= DATE(2027,12,31)), $C$33 * $E$33 * $F$33, 0)</f>
        <v/>
      </c>
      <c r="BS33" s="16">
        <f>IF(AND($D$33 &gt;= DATE(2028,1,1), $D$33 &lt;= DATE(2028,3,31)), $C$33 * $E$33 * $F$33, 0)</f>
        <v/>
      </c>
      <c r="BT33" s="16">
        <f>IF(AND($D$33 &gt;= DATE(2028,4,1), $D$33 &lt;= DATE(2028,6,30)), $C$33 * $E$33 * $F$33, 0)</f>
        <v/>
      </c>
      <c r="BU33" s="16">
        <f>IF(AND($D$33 &gt;= DATE(2028,7,1), $D$33 &lt;= DATE(2028,9,30)), $C$33 * $E$33 * $F$33, 0)</f>
        <v/>
      </c>
      <c r="BV33" s="16">
        <f>IF(AND($D$33 &gt;= DATE(2028,10,1), $D$33 &lt;= DATE(2028,12,31)), $C$33 * $E$33 * $F$33, 0)</f>
        <v/>
      </c>
    </row>
    <row r="34">
      <c r="B34" t="inlineStr">
        <is>
          <t>Northfield &gt; Tessellate Robotics &gt; Second Engineering Unit</t>
        </is>
      </c>
      <c r="C34" s="16" t="n">
        <v>90000</v>
      </c>
      <c r="D34" s="18" t="n">
        <v>46357</v>
      </c>
      <c r="E34" s="16" t="n">
        <v>2</v>
      </c>
      <c r="F34" s="19" t="n">
        <v>0.75</v>
      </c>
      <c r="G34" s="18" t="n">
        <v>46388</v>
      </c>
      <c r="H34" s="18" t="n">
        <v>46419</v>
      </c>
      <c r="I34" s="16">
        <f>$C$34 * $E$34</f>
        <v/>
      </c>
      <c r="J34" s="20">
        <f>$C$34 * $E$34 * $F$34</f>
        <v/>
      </c>
      <c r="K34" s="16">
        <f>IF(($G$34&lt;=DATE(2021,3,31))*($H$34&gt;=DATE(2021,1,1)),$C$34 * $F$34 * MAX(0, MIN((YEAR($H$34)*12+MONTH($H$34)), (YEAR(DATE(2021,3,31))*12+MONTH(DATE(2021,3,31)))) - MAX((YEAR($G$34)*12+MONTH($G$34)), (YEAR(DATE(2021,1,1))*12+MONTH(DATE(2021,1,1)))) + 1),0)</f>
        <v/>
      </c>
      <c r="L34" s="16">
        <f>IF(($G$34&lt;=DATE(2021,6,30))*($H$34&gt;=DATE(2021,4,1)),$C$34 * $F$34 * MAX(0, MIN((YEAR($H$34)*12+MONTH($H$34)), (YEAR(DATE(2021,6,30))*12+MONTH(DATE(2021,6,30)))) - MAX((YEAR($G$34)*12+MONTH($G$34)), (YEAR(DATE(2021,4,1))*12+MONTH(DATE(2021,4,1)))) + 1),0)</f>
        <v/>
      </c>
      <c r="M34" s="16">
        <f>IF(($G$34&lt;=DATE(2021,9,30))*($H$34&gt;=DATE(2021,7,1)),$C$34 * $F$34 * MAX(0, MIN((YEAR($H$34)*12+MONTH($H$34)), (YEAR(DATE(2021,9,30))*12+MONTH(DATE(2021,9,30)))) - MAX((YEAR($G$34)*12+MONTH($G$34)), (YEAR(DATE(2021,7,1))*12+MONTH(DATE(2021,7,1)))) + 1),0)</f>
        <v/>
      </c>
      <c r="N34" s="16">
        <f>IF(($G$34&lt;=DATE(2021,12,31))*($H$34&gt;=DATE(2021,10,1)),$C$34 * $F$34 * MAX(0, MIN((YEAR($H$34)*12+MONTH($H$34)), (YEAR(DATE(2021,12,31))*12+MONTH(DATE(2021,12,31)))) - MAX((YEAR($G$34)*12+MONTH($G$34)), (YEAR(DATE(2021,10,1))*12+MONTH(DATE(2021,10,1)))) + 1),0)</f>
        <v/>
      </c>
      <c r="O34" s="16">
        <f>IF(($G$34&lt;=DATE(2022,3,31))*($H$34&gt;=DATE(2022,1,1)),$C$34 * $F$34 * MAX(0, MIN((YEAR($H$34)*12+MONTH($H$34)), (YEAR(DATE(2022,3,31))*12+MONTH(DATE(2022,3,31)))) - MAX((YEAR($G$34)*12+MONTH($G$34)), (YEAR(DATE(2022,1,1))*12+MONTH(DATE(2022,1,1)))) + 1),0)</f>
        <v/>
      </c>
      <c r="P34" s="16">
        <f>IF(($G$34&lt;=DATE(2022,6,30))*($H$34&gt;=DATE(2022,4,1)),$C$34 * $F$34 * MAX(0, MIN((YEAR($H$34)*12+MONTH($H$34)), (YEAR(DATE(2022,6,30))*12+MONTH(DATE(2022,6,30)))) - MAX((YEAR($G$34)*12+MONTH($G$34)), (YEAR(DATE(2022,4,1))*12+MONTH(DATE(2022,4,1)))) + 1),0)</f>
        <v/>
      </c>
      <c r="Q34" s="16">
        <f>IF(($G$34&lt;=DATE(2022,9,30))*($H$34&gt;=DATE(2022,7,1)),$C$34 * $F$34 * MAX(0, MIN((YEAR($H$34)*12+MONTH($H$34)), (YEAR(DATE(2022,9,30))*12+MONTH(DATE(2022,9,30)))) - MAX((YEAR($G$34)*12+MONTH($G$34)), (YEAR(DATE(2022,7,1))*12+MONTH(DATE(2022,7,1)))) + 1),0)</f>
        <v/>
      </c>
      <c r="R34" s="16">
        <f>IF(($G$34&lt;=DATE(2022,12,31))*($H$34&gt;=DATE(2022,10,1)),$C$34 * $F$34 * MAX(0, MIN((YEAR($H$34)*12+MONTH($H$34)), (YEAR(DATE(2022,12,31))*12+MONTH(DATE(2022,12,31)))) - MAX((YEAR($G$34)*12+MONTH($G$34)), (YEAR(DATE(2022,10,1))*12+MONTH(DATE(2022,10,1)))) + 1),0)</f>
        <v/>
      </c>
      <c r="S34" s="16">
        <f>IF(($G$34&lt;=DATE(2023,3,31))*($H$34&gt;=DATE(2023,1,1)),$C$34 * $F$34 * MAX(0, MIN((YEAR($H$34)*12+MONTH($H$34)), (YEAR(DATE(2023,3,31))*12+MONTH(DATE(2023,3,31)))) - MAX((YEAR($G$34)*12+MONTH($G$34)), (YEAR(DATE(2023,1,1))*12+MONTH(DATE(2023,1,1)))) + 1),0)</f>
        <v/>
      </c>
      <c r="T34" s="16">
        <f>IF(($G$34&lt;=DATE(2023,6,30))*($H$34&gt;=DATE(2023,4,1)),$C$34 * $F$34 * MAX(0, MIN((YEAR($H$34)*12+MONTH($H$34)), (YEAR(DATE(2023,6,30))*12+MONTH(DATE(2023,6,30)))) - MAX((YEAR($G$34)*12+MONTH($G$34)), (YEAR(DATE(2023,4,1))*12+MONTH(DATE(2023,4,1)))) + 1),0)</f>
        <v/>
      </c>
      <c r="U34" s="16">
        <f>IF(($G$34&lt;=DATE(2023,9,30))*($H$34&gt;=DATE(2023,7,1)),$C$34 * $F$34 * MAX(0, MIN((YEAR($H$34)*12+MONTH($H$34)), (YEAR(DATE(2023,9,30))*12+MONTH(DATE(2023,9,30)))) - MAX((YEAR($G$34)*12+MONTH($G$34)), (YEAR(DATE(2023,7,1))*12+MONTH(DATE(2023,7,1)))) + 1),0)</f>
        <v/>
      </c>
      <c r="V34" s="16">
        <f>IF(($G$34&lt;=DATE(2023,12,31))*($H$34&gt;=DATE(2023,10,1)),$C$34 * $F$34 * MAX(0, MIN((YEAR($H$34)*12+MONTH($H$34)), (YEAR(DATE(2023,12,31))*12+MONTH(DATE(2023,12,31)))) - MAX((YEAR($G$34)*12+MONTH($G$34)), (YEAR(DATE(2023,10,1))*12+MONTH(DATE(2023,10,1)))) + 1),0)</f>
        <v/>
      </c>
      <c r="W34" s="16">
        <f>IF(($G$34&lt;=DATE(2024,3,31))*($H$34&gt;=DATE(2024,1,1)),$C$34 * $F$34 * MAX(0, MIN((YEAR($H$34)*12+MONTH($H$34)), (YEAR(DATE(2024,3,31))*12+MONTH(DATE(2024,3,31)))) - MAX((YEAR($G$34)*12+MONTH($G$34)), (YEAR(DATE(2024,1,1))*12+MONTH(DATE(2024,1,1)))) + 1),0)</f>
        <v/>
      </c>
      <c r="X34" s="16">
        <f>IF(($G$34&lt;=DATE(2024,6,30))*($H$34&gt;=DATE(2024,4,1)),$C$34 * $F$34 * MAX(0, MIN((YEAR($H$34)*12+MONTH($H$34)), (YEAR(DATE(2024,6,30))*12+MONTH(DATE(2024,6,30)))) - MAX((YEAR($G$34)*12+MONTH($G$34)), (YEAR(DATE(2024,4,1))*12+MONTH(DATE(2024,4,1)))) + 1),0)</f>
        <v/>
      </c>
      <c r="Y34" s="16">
        <f>IF(($G$34&lt;=DATE(2024,9,30))*($H$34&gt;=DATE(2024,7,1)),$C$34 * $F$34 * MAX(0, MIN((YEAR($H$34)*12+MONTH($H$34)), (YEAR(DATE(2024,9,30))*12+MONTH(DATE(2024,9,30)))) - MAX((YEAR($G$34)*12+MONTH($G$34)), (YEAR(DATE(2024,7,1))*12+MONTH(DATE(2024,7,1)))) + 1),0)</f>
        <v/>
      </c>
      <c r="Z34" s="16">
        <f>IF(($G$34&lt;=DATE(2024,12,31))*($H$34&gt;=DATE(2024,10,1)),$C$34 * $F$34 * MAX(0, MIN((YEAR($H$34)*12+MONTH($H$34)), (YEAR(DATE(2024,12,31))*12+MONTH(DATE(2024,12,31)))) - MAX((YEAR($G$34)*12+MONTH($G$34)), (YEAR(DATE(2024,10,1))*12+MONTH(DATE(2024,10,1)))) + 1),0)</f>
        <v/>
      </c>
      <c r="AA34" s="16">
        <f>IF(($G$34&lt;=DATE(2025,3,31))*($H$34&gt;=DATE(2025,1,1)),$C$34 * $F$34 * MAX(0, MIN((YEAR($H$34)*12+MONTH($H$34)), (YEAR(DATE(2025,3,31))*12+MONTH(DATE(2025,3,31)))) - MAX((YEAR($G$34)*12+MONTH($G$34)), (YEAR(DATE(2025,1,1))*12+MONTH(DATE(2025,1,1)))) + 1),0)</f>
        <v/>
      </c>
      <c r="AB34" s="16">
        <f>IF(($G$34&lt;=DATE(2025,6,30))*($H$34&gt;=DATE(2025,4,1)),$C$34 * $F$34 * MAX(0, MIN((YEAR($H$34)*12+MONTH($H$34)), (YEAR(DATE(2025,6,30))*12+MONTH(DATE(2025,6,30)))) - MAX((YEAR($G$34)*12+MONTH($G$34)), (YEAR(DATE(2025,4,1))*12+MONTH(DATE(2025,4,1)))) + 1),0)</f>
        <v/>
      </c>
      <c r="AC34" s="16">
        <f>IF(($G$34&lt;=DATE(2025,9,30))*($H$34&gt;=DATE(2025,7,1)),$C$34 * $F$34 * MAX(0, MIN((YEAR($H$34)*12+MONTH($H$34)), (YEAR(DATE(2025,9,30))*12+MONTH(DATE(2025,9,30)))) - MAX((YEAR($G$34)*12+MONTH($G$34)), (YEAR(DATE(2025,7,1))*12+MONTH(DATE(2025,7,1)))) + 1),0)</f>
        <v/>
      </c>
      <c r="AD34" s="16">
        <f>IF(($G$34&lt;=DATE(2025,12,31))*($H$34&gt;=DATE(2025,10,1)),$C$34 * $F$34 * MAX(0, MIN((YEAR($H$34)*12+MONTH($H$34)), (YEAR(DATE(2025,12,31))*12+MONTH(DATE(2025,12,31)))) - MAX((YEAR($G$34)*12+MONTH($G$34)), (YEAR(DATE(2025,10,1))*12+MONTH(DATE(2025,10,1)))) + 1),0)</f>
        <v/>
      </c>
      <c r="AE34" s="16">
        <f>IF(($G$34&lt;=DATE(2026,3,31))*($H$34&gt;=DATE(2026,1,1)),$C$34 * $F$34 * MAX(0, MIN((YEAR($H$34)*12+MONTH($H$34)), (YEAR(DATE(2026,3,31))*12+MONTH(DATE(2026,3,31)))) - MAX((YEAR($G$34)*12+MONTH($G$34)), (YEAR(DATE(2026,1,1))*12+MONTH(DATE(2026,1,1)))) + 1),0)</f>
        <v/>
      </c>
      <c r="AF34" s="16">
        <f>IF(($G$34&lt;=DATE(2026,6,30))*($H$34&gt;=DATE(2026,4,1)),$C$34 * $F$34 * MAX(0, MIN((YEAR($H$34)*12+MONTH($H$34)), (YEAR(DATE(2026,6,30))*12+MONTH(DATE(2026,6,30)))) - MAX((YEAR($G$34)*12+MONTH($G$34)), (YEAR(DATE(2026,4,1))*12+MONTH(DATE(2026,4,1)))) + 1),0)</f>
        <v/>
      </c>
      <c r="AG34" s="16">
        <f>IF(($G$34&lt;=DATE(2026,9,30))*($H$34&gt;=DATE(2026,7,1)),$C$34 * $F$34 * MAX(0, MIN((YEAR($H$34)*12+MONTH($H$34)), (YEAR(DATE(2026,9,30))*12+MONTH(DATE(2026,9,30)))) - MAX((YEAR($G$34)*12+MONTH($G$34)), (YEAR(DATE(2026,7,1))*12+MONTH(DATE(2026,7,1)))) + 1),0)</f>
        <v/>
      </c>
      <c r="AH34" s="16">
        <f>IF(($G$34&lt;=DATE(2026,12,31))*($H$34&gt;=DATE(2026,10,1)),$C$34 * $F$34 * MAX(0, MIN((YEAR($H$34)*12+MONTH($H$34)), (YEAR(DATE(2026,12,31))*12+MONTH(DATE(2026,12,31)))) - MAX((YEAR($G$34)*12+MONTH($G$34)), (YEAR(DATE(2026,10,1))*12+MONTH(DATE(2026,10,1)))) + 1),0)</f>
        <v/>
      </c>
      <c r="AI34" s="16">
        <f>IF(($G$34&lt;=DATE(2027,3,31))*($H$34&gt;=DATE(2027,1,1)),$C$34 * $F$34 * MAX(0, MIN((YEAR($H$34)*12+MONTH($H$34)), (YEAR(DATE(2027,3,31))*12+MONTH(DATE(2027,3,31)))) - MAX((YEAR($G$34)*12+MONTH($G$34)), (YEAR(DATE(2027,1,1))*12+MONTH(DATE(2027,1,1)))) + 1),0)</f>
        <v/>
      </c>
      <c r="AJ34" s="16">
        <f>IF(($G$34&lt;=DATE(2027,6,30))*($H$34&gt;=DATE(2027,4,1)),$C$34 * $F$34 * MAX(0, MIN((YEAR($H$34)*12+MONTH($H$34)), (YEAR(DATE(2027,6,30))*12+MONTH(DATE(2027,6,30)))) - MAX((YEAR($G$34)*12+MONTH($G$34)), (YEAR(DATE(2027,4,1))*12+MONTH(DATE(2027,4,1)))) + 1),0)</f>
        <v/>
      </c>
      <c r="AK34" s="16">
        <f>IF(($G$34&lt;=DATE(2027,9,30))*($H$34&gt;=DATE(2027,7,1)),$C$34 * $F$34 * MAX(0, MIN((YEAR($H$34)*12+MONTH($H$34)), (YEAR(DATE(2027,9,30))*12+MONTH(DATE(2027,9,30)))) - MAX((YEAR($G$34)*12+MONTH($G$34)), (YEAR(DATE(2027,7,1))*12+MONTH(DATE(2027,7,1)))) + 1),0)</f>
        <v/>
      </c>
      <c r="AL34" s="16">
        <f>IF(($G$34&lt;=DATE(2027,12,31))*($H$34&gt;=DATE(2027,10,1)),$C$34 * $F$34 * MAX(0, MIN((YEAR($H$34)*12+MONTH($H$34)), (YEAR(DATE(2027,12,31))*12+MONTH(DATE(2027,12,31)))) - MAX((YEAR($G$34)*12+MONTH($G$34)), (YEAR(DATE(2027,10,1))*12+MONTH(DATE(2027,10,1)))) + 1),0)</f>
        <v/>
      </c>
      <c r="AM34" s="16">
        <f>IF(($G$34&lt;=DATE(2028,3,31))*($H$34&gt;=DATE(2028,1,1)),$C$34 * $F$34 * MAX(0, MIN((YEAR($H$34)*12+MONTH($H$34)), (YEAR(DATE(2028,3,31))*12+MONTH(DATE(2028,3,31)))) - MAX((YEAR($G$34)*12+MONTH($G$34)), (YEAR(DATE(2028,1,1))*12+MONTH(DATE(2028,1,1)))) + 1),0)</f>
        <v/>
      </c>
      <c r="AN34" s="16">
        <f>IF(($G$34&lt;=DATE(2028,6,30))*($H$34&gt;=DATE(2028,4,1)),$C$34 * $F$34 * MAX(0, MIN((YEAR($H$34)*12+MONTH($H$34)), (YEAR(DATE(2028,6,30))*12+MONTH(DATE(2028,6,30)))) - MAX((YEAR($G$34)*12+MONTH($G$34)), (YEAR(DATE(2028,4,1))*12+MONTH(DATE(2028,4,1)))) + 1),0)</f>
        <v/>
      </c>
      <c r="AO34" s="16">
        <f>IF(($G$34&lt;=DATE(2028,9,30))*($H$34&gt;=DATE(2028,7,1)),$C$34 * $F$34 * MAX(0, MIN((YEAR($H$34)*12+MONTH($H$34)), (YEAR(DATE(2028,9,30))*12+MONTH(DATE(2028,9,30)))) - MAX((YEAR($G$34)*12+MONTH($G$34)), (YEAR(DATE(2028,7,1))*12+MONTH(DATE(2028,7,1)))) + 1),0)</f>
        <v/>
      </c>
      <c r="AP34" s="16">
        <f>IF(($G$34&lt;=DATE(2028,12,31))*($H$34&gt;=DATE(2028,10,1)),$C$34 * $F$34 * MAX(0, MIN((YEAR($H$34)*12+MONTH($H$34)), (YEAR(DATE(2028,12,31))*12+MONTH(DATE(2028,12,31)))) - MAX((YEAR($G$34)*12+MONTH($G$34)), (YEAR(DATE(2028,10,1))*12+MONTH(DATE(2028,10,1)))) + 1),0)</f>
        <v/>
      </c>
      <c r="AQ34" s="16">
        <f>IF(AND($D$34 &gt;= DATE(2021,1,1), $D$34 &lt;= DATE(2021,3,31)), $C$34 * $E$34 * $F$34, 0)</f>
        <v/>
      </c>
      <c r="AR34" s="16">
        <f>IF(AND($D$34 &gt;= DATE(2021,4,1), $D$34 &lt;= DATE(2021,6,30)), $C$34 * $E$34 * $F$34, 0)</f>
        <v/>
      </c>
      <c r="AS34" s="16">
        <f>IF(AND($D$34 &gt;= DATE(2021,7,1), $D$34 &lt;= DATE(2021,9,30)), $C$34 * $E$34 * $F$34, 0)</f>
        <v/>
      </c>
      <c r="AT34" s="16">
        <f>IF(AND($D$34 &gt;= DATE(2021,10,1), $D$34 &lt;= DATE(2021,12,31)), $C$34 * $E$34 * $F$34, 0)</f>
        <v/>
      </c>
      <c r="AU34" s="16">
        <f>IF(AND($D$34 &gt;= DATE(2022,1,1), $D$34 &lt;= DATE(2022,3,31)), $C$34 * $E$34 * $F$34, 0)</f>
        <v/>
      </c>
      <c r="AV34" s="16">
        <f>IF(AND($D$34 &gt;= DATE(2022,4,1), $D$34 &lt;= DATE(2022,6,30)), $C$34 * $E$34 * $F$34, 0)</f>
        <v/>
      </c>
      <c r="AW34" s="16">
        <f>IF(AND($D$34 &gt;= DATE(2022,7,1), $D$34 &lt;= DATE(2022,9,30)), $C$34 * $E$34 * $F$34, 0)</f>
        <v/>
      </c>
      <c r="AX34" s="16">
        <f>IF(AND($D$34 &gt;= DATE(2022,10,1), $D$34 &lt;= DATE(2022,12,31)), $C$34 * $E$34 * $F$34, 0)</f>
        <v/>
      </c>
      <c r="AY34" s="16">
        <f>IF(AND($D$34 &gt;= DATE(2023,1,1), $D$34 &lt;= DATE(2023,3,31)), $C$34 * $E$34 * $F$34, 0)</f>
        <v/>
      </c>
      <c r="AZ34" s="16">
        <f>IF(AND($D$34 &gt;= DATE(2023,4,1), $D$34 &lt;= DATE(2023,6,30)), $C$34 * $E$34 * $F$34, 0)</f>
        <v/>
      </c>
      <c r="BA34" s="16">
        <f>IF(AND($D$34 &gt;= DATE(2023,7,1), $D$34 &lt;= DATE(2023,9,30)), $C$34 * $E$34 * $F$34, 0)</f>
        <v/>
      </c>
      <c r="BB34" s="16">
        <f>IF(AND($D$34 &gt;= DATE(2023,10,1), $D$34 &lt;= DATE(2023,12,31)), $C$34 * $E$34 * $F$34, 0)</f>
        <v/>
      </c>
      <c r="BC34" s="16">
        <f>IF(AND($D$34 &gt;= DATE(2024,1,1), $D$34 &lt;= DATE(2024,3,31)), $C$34 * $E$34 * $F$34, 0)</f>
        <v/>
      </c>
      <c r="BD34" s="16">
        <f>IF(AND($D$34 &gt;= DATE(2024,4,1), $D$34 &lt;= DATE(2024,6,30)), $C$34 * $E$34 * $F$34, 0)</f>
        <v/>
      </c>
      <c r="BE34" s="16">
        <f>IF(AND($D$34 &gt;= DATE(2024,7,1), $D$34 &lt;= DATE(2024,9,30)), $C$34 * $E$34 * $F$34, 0)</f>
        <v/>
      </c>
      <c r="BF34" s="16">
        <f>IF(AND($D$34 &gt;= DATE(2024,10,1), $D$34 &lt;= DATE(2024,12,31)), $C$34 * $E$34 * $F$34, 0)</f>
        <v/>
      </c>
      <c r="BG34" s="16">
        <f>IF(AND($D$34 &gt;= DATE(2025,1,1), $D$34 &lt;= DATE(2025,3,31)), $C$34 * $E$34 * $F$34, 0)</f>
        <v/>
      </c>
      <c r="BH34" s="16">
        <f>IF(AND($D$34 &gt;= DATE(2025,4,1), $D$34 &lt;= DATE(2025,6,30)), $C$34 * $E$34 * $F$34, 0)</f>
        <v/>
      </c>
      <c r="BI34" s="16">
        <f>IF(AND($D$34 &gt;= DATE(2025,7,1), $D$34 &lt;= DATE(2025,9,30)), $C$34 * $E$34 * $F$34, 0)</f>
        <v/>
      </c>
      <c r="BJ34" s="16">
        <f>IF(AND($D$34 &gt;= DATE(2025,10,1), $D$34 &lt;= DATE(2025,12,31)), $C$34 * $E$34 * $F$34, 0)</f>
        <v/>
      </c>
      <c r="BK34" s="16">
        <f>IF(AND($D$34 &gt;= DATE(2026,1,1), $D$34 &lt;= DATE(2026,3,31)), $C$34 * $E$34 * $F$34, 0)</f>
        <v/>
      </c>
      <c r="BL34" s="16">
        <f>IF(AND($D$34 &gt;= DATE(2026,4,1), $D$34 &lt;= DATE(2026,6,30)), $C$34 * $E$34 * $F$34, 0)</f>
        <v/>
      </c>
      <c r="BM34" s="16">
        <f>IF(AND($D$34 &gt;= DATE(2026,7,1), $D$34 &lt;= DATE(2026,9,30)), $C$34 * $E$34 * $F$34, 0)</f>
        <v/>
      </c>
      <c r="BN34" s="16">
        <f>IF(AND($D$34 &gt;= DATE(2026,10,1), $D$34 &lt;= DATE(2026,12,31)), $C$34 * $E$34 * $F$34, 0)</f>
        <v/>
      </c>
      <c r="BO34" s="16">
        <f>IF(AND($D$34 &gt;= DATE(2027,1,1), $D$34 &lt;= DATE(2027,3,31)), $C$34 * $E$34 * $F$34, 0)</f>
        <v/>
      </c>
      <c r="BP34" s="16">
        <f>IF(AND($D$34 &gt;= DATE(2027,4,1), $D$34 &lt;= DATE(2027,6,30)), $C$34 * $E$34 * $F$34, 0)</f>
        <v/>
      </c>
      <c r="BQ34" s="16">
        <f>IF(AND($D$34 &gt;= DATE(2027,7,1), $D$34 &lt;= DATE(2027,9,30)), $C$34 * $E$34 * $F$34, 0)</f>
        <v/>
      </c>
      <c r="BR34" s="16">
        <f>IF(AND($D$34 &gt;= DATE(2027,10,1), $D$34 &lt;= DATE(2027,12,31)), $C$34 * $E$34 * $F$34, 0)</f>
        <v/>
      </c>
      <c r="BS34" s="16">
        <f>IF(AND($D$34 &gt;= DATE(2028,1,1), $D$34 &lt;= DATE(2028,3,31)), $C$34 * $E$34 * $F$34, 0)</f>
        <v/>
      </c>
      <c r="BT34" s="16">
        <f>IF(AND($D$34 &gt;= DATE(2028,4,1), $D$34 &lt;= DATE(2028,6,30)), $C$34 * $E$34 * $F$34, 0)</f>
        <v/>
      </c>
      <c r="BU34" s="16">
        <f>IF(AND($D$34 &gt;= DATE(2028,7,1), $D$34 &lt;= DATE(2028,9,30)), $C$34 * $E$34 * $F$34, 0)</f>
        <v/>
      </c>
      <c r="BV34" s="16">
        <f>IF(AND($D$34 &gt;= DATE(2028,10,1), $D$34 &lt;= DATE(2028,12,31)), $C$34 * $E$34 * $F$34, 0)</f>
        <v/>
      </c>
    </row>
    <row r="35">
      <c r="B35" t="inlineStr">
        <is>
          <t>Foundry &gt; Cartwright Instruments &gt; Calibration Rig</t>
        </is>
      </c>
      <c r="C35" s="16" t="n">
        <v>30000</v>
      </c>
      <c r="D35" s="18" t="n">
        <v>46388</v>
      </c>
      <c r="E35" s="16" t="n">
        <v>2</v>
      </c>
      <c r="F35" s="19" t="n">
        <v>0.4</v>
      </c>
      <c r="G35" s="18" t="n">
        <v>46419</v>
      </c>
      <c r="H35" s="18" t="n">
        <v>46447</v>
      </c>
      <c r="I35" s="16">
        <f>$C$35 * $E$35</f>
        <v/>
      </c>
      <c r="J35" s="20">
        <f>$C$35 * $E$35 * $F$35</f>
        <v/>
      </c>
      <c r="K35" s="16">
        <f>IF(($G$35&lt;=DATE(2021,3,31))*($H$35&gt;=DATE(2021,1,1)),$C$35 * $F$35 * MAX(0, MIN((YEAR($H$35)*12+MONTH($H$35)), (YEAR(DATE(2021,3,31))*12+MONTH(DATE(2021,3,31)))) - MAX((YEAR($G$35)*12+MONTH($G$35)), (YEAR(DATE(2021,1,1))*12+MONTH(DATE(2021,1,1)))) + 1),0)</f>
        <v/>
      </c>
      <c r="L35" s="16">
        <f>IF(($G$35&lt;=DATE(2021,6,30))*($H$35&gt;=DATE(2021,4,1)),$C$35 * $F$35 * MAX(0, MIN((YEAR($H$35)*12+MONTH($H$35)), (YEAR(DATE(2021,6,30))*12+MONTH(DATE(2021,6,30)))) - MAX((YEAR($G$35)*12+MONTH($G$35)), (YEAR(DATE(2021,4,1))*12+MONTH(DATE(2021,4,1)))) + 1),0)</f>
        <v/>
      </c>
      <c r="M35" s="16">
        <f>IF(($G$35&lt;=DATE(2021,9,30))*($H$35&gt;=DATE(2021,7,1)),$C$35 * $F$35 * MAX(0, MIN((YEAR($H$35)*12+MONTH($H$35)), (YEAR(DATE(2021,9,30))*12+MONTH(DATE(2021,9,30)))) - MAX((YEAR($G$35)*12+MONTH($G$35)), (YEAR(DATE(2021,7,1))*12+MONTH(DATE(2021,7,1)))) + 1),0)</f>
        <v/>
      </c>
      <c r="N35" s="16">
        <f>IF(($G$35&lt;=DATE(2021,12,31))*($H$35&gt;=DATE(2021,10,1)),$C$35 * $F$35 * MAX(0, MIN((YEAR($H$35)*12+MONTH($H$35)), (YEAR(DATE(2021,12,31))*12+MONTH(DATE(2021,12,31)))) - MAX((YEAR($G$35)*12+MONTH($G$35)), (YEAR(DATE(2021,10,1))*12+MONTH(DATE(2021,10,1)))) + 1),0)</f>
        <v/>
      </c>
      <c r="O35" s="16">
        <f>IF(($G$35&lt;=DATE(2022,3,31))*($H$35&gt;=DATE(2022,1,1)),$C$35 * $F$35 * MAX(0, MIN((YEAR($H$35)*12+MONTH($H$35)), (YEAR(DATE(2022,3,31))*12+MONTH(DATE(2022,3,31)))) - MAX((YEAR($G$35)*12+MONTH($G$35)), (YEAR(DATE(2022,1,1))*12+MONTH(DATE(2022,1,1)))) + 1),0)</f>
        <v/>
      </c>
      <c r="P35" s="16">
        <f>IF(($G$35&lt;=DATE(2022,6,30))*($H$35&gt;=DATE(2022,4,1)),$C$35 * $F$35 * MAX(0, MIN((YEAR($H$35)*12+MONTH($H$35)), (YEAR(DATE(2022,6,30))*12+MONTH(DATE(2022,6,30)))) - MAX((YEAR($G$35)*12+MONTH($G$35)), (YEAR(DATE(2022,4,1))*12+MONTH(DATE(2022,4,1)))) + 1),0)</f>
        <v/>
      </c>
      <c r="Q35" s="16">
        <f>IF(($G$35&lt;=DATE(2022,9,30))*($H$35&gt;=DATE(2022,7,1)),$C$35 * $F$35 * MAX(0, MIN((YEAR($H$35)*12+MONTH($H$35)), (YEAR(DATE(2022,9,30))*12+MONTH(DATE(2022,9,30)))) - MAX((YEAR($G$35)*12+MONTH($G$35)), (YEAR(DATE(2022,7,1))*12+MONTH(DATE(2022,7,1)))) + 1),0)</f>
        <v/>
      </c>
      <c r="R35" s="16">
        <f>IF(($G$35&lt;=DATE(2022,12,31))*($H$35&gt;=DATE(2022,10,1)),$C$35 * $F$35 * MAX(0, MIN((YEAR($H$35)*12+MONTH($H$35)), (YEAR(DATE(2022,12,31))*12+MONTH(DATE(2022,12,31)))) - MAX((YEAR($G$35)*12+MONTH($G$35)), (YEAR(DATE(2022,10,1))*12+MONTH(DATE(2022,10,1)))) + 1),0)</f>
        <v/>
      </c>
      <c r="S35" s="16">
        <f>IF(($G$35&lt;=DATE(2023,3,31))*($H$35&gt;=DATE(2023,1,1)),$C$35 * $F$35 * MAX(0, MIN((YEAR($H$35)*12+MONTH($H$35)), (YEAR(DATE(2023,3,31))*12+MONTH(DATE(2023,3,31)))) - MAX((YEAR($G$35)*12+MONTH($G$35)), (YEAR(DATE(2023,1,1))*12+MONTH(DATE(2023,1,1)))) + 1),0)</f>
        <v/>
      </c>
      <c r="T35" s="16">
        <f>IF(($G$35&lt;=DATE(2023,6,30))*($H$35&gt;=DATE(2023,4,1)),$C$35 * $F$35 * MAX(0, MIN((YEAR($H$35)*12+MONTH($H$35)), (YEAR(DATE(2023,6,30))*12+MONTH(DATE(2023,6,30)))) - MAX((YEAR($G$35)*12+MONTH($G$35)), (YEAR(DATE(2023,4,1))*12+MONTH(DATE(2023,4,1)))) + 1),0)</f>
        <v/>
      </c>
      <c r="U35" s="16">
        <f>IF(($G$35&lt;=DATE(2023,9,30))*($H$35&gt;=DATE(2023,7,1)),$C$35 * $F$35 * MAX(0, MIN((YEAR($H$35)*12+MONTH($H$35)), (YEAR(DATE(2023,9,30))*12+MONTH(DATE(2023,9,30)))) - MAX((YEAR($G$35)*12+MONTH($G$35)), (YEAR(DATE(2023,7,1))*12+MONTH(DATE(2023,7,1)))) + 1),0)</f>
        <v/>
      </c>
      <c r="V35" s="16">
        <f>IF(($G$35&lt;=DATE(2023,12,31))*($H$35&gt;=DATE(2023,10,1)),$C$35 * $F$35 * MAX(0, MIN((YEAR($H$35)*12+MONTH($H$35)), (YEAR(DATE(2023,12,31))*12+MONTH(DATE(2023,12,31)))) - MAX((YEAR($G$35)*12+MONTH($G$35)), (YEAR(DATE(2023,10,1))*12+MONTH(DATE(2023,10,1)))) + 1),0)</f>
        <v/>
      </c>
      <c r="W35" s="16">
        <f>IF(($G$35&lt;=DATE(2024,3,31))*($H$35&gt;=DATE(2024,1,1)),$C$35 * $F$35 * MAX(0, MIN((YEAR($H$35)*12+MONTH($H$35)), (YEAR(DATE(2024,3,31))*12+MONTH(DATE(2024,3,31)))) - MAX((YEAR($G$35)*12+MONTH($G$35)), (YEAR(DATE(2024,1,1))*12+MONTH(DATE(2024,1,1)))) + 1),0)</f>
        <v/>
      </c>
      <c r="X35" s="16">
        <f>IF(($G$35&lt;=DATE(2024,6,30))*($H$35&gt;=DATE(2024,4,1)),$C$35 * $F$35 * MAX(0, MIN((YEAR($H$35)*12+MONTH($H$35)), (YEAR(DATE(2024,6,30))*12+MONTH(DATE(2024,6,30)))) - MAX((YEAR($G$35)*12+MONTH($G$35)), (YEAR(DATE(2024,4,1))*12+MONTH(DATE(2024,4,1)))) + 1),0)</f>
        <v/>
      </c>
      <c r="Y35" s="16">
        <f>IF(($G$35&lt;=DATE(2024,9,30))*($H$35&gt;=DATE(2024,7,1)),$C$35 * $F$35 * MAX(0, MIN((YEAR($H$35)*12+MONTH($H$35)), (YEAR(DATE(2024,9,30))*12+MONTH(DATE(2024,9,30)))) - MAX((YEAR($G$35)*12+MONTH($G$35)), (YEAR(DATE(2024,7,1))*12+MONTH(DATE(2024,7,1)))) + 1),0)</f>
        <v/>
      </c>
      <c r="Z35" s="16">
        <f>IF(($G$35&lt;=DATE(2024,12,31))*($H$35&gt;=DATE(2024,10,1)),$C$35 * $F$35 * MAX(0, MIN((YEAR($H$35)*12+MONTH($H$35)), (YEAR(DATE(2024,12,31))*12+MONTH(DATE(2024,12,31)))) - MAX((YEAR($G$35)*12+MONTH($G$35)), (YEAR(DATE(2024,10,1))*12+MONTH(DATE(2024,10,1)))) + 1),0)</f>
        <v/>
      </c>
      <c r="AA35" s="16">
        <f>IF(($G$35&lt;=DATE(2025,3,31))*($H$35&gt;=DATE(2025,1,1)),$C$35 * $F$35 * MAX(0, MIN((YEAR($H$35)*12+MONTH($H$35)), (YEAR(DATE(2025,3,31))*12+MONTH(DATE(2025,3,31)))) - MAX((YEAR($G$35)*12+MONTH($G$35)), (YEAR(DATE(2025,1,1))*12+MONTH(DATE(2025,1,1)))) + 1),0)</f>
        <v/>
      </c>
      <c r="AB35" s="16">
        <f>IF(($G$35&lt;=DATE(2025,6,30))*($H$35&gt;=DATE(2025,4,1)),$C$35 * $F$35 * MAX(0, MIN((YEAR($H$35)*12+MONTH($H$35)), (YEAR(DATE(2025,6,30))*12+MONTH(DATE(2025,6,30)))) - MAX((YEAR($G$35)*12+MONTH($G$35)), (YEAR(DATE(2025,4,1))*12+MONTH(DATE(2025,4,1)))) + 1),0)</f>
        <v/>
      </c>
      <c r="AC35" s="16">
        <f>IF(($G$35&lt;=DATE(2025,9,30))*($H$35&gt;=DATE(2025,7,1)),$C$35 * $F$35 * MAX(0, MIN((YEAR($H$35)*12+MONTH($H$35)), (YEAR(DATE(2025,9,30))*12+MONTH(DATE(2025,9,30)))) - MAX((YEAR($G$35)*12+MONTH($G$35)), (YEAR(DATE(2025,7,1))*12+MONTH(DATE(2025,7,1)))) + 1),0)</f>
        <v/>
      </c>
      <c r="AD35" s="16">
        <f>IF(($G$35&lt;=DATE(2025,12,31))*($H$35&gt;=DATE(2025,10,1)),$C$35 * $F$35 * MAX(0, MIN((YEAR($H$35)*12+MONTH($H$35)), (YEAR(DATE(2025,12,31))*12+MONTH(DATE(2025,12,31)))) - MAX((YEAR($G$35)*12+MONTH($G$35)), (YEAR(DATE(2025,10,1))*12+MONTH(DATE(2025,10,1)))) + 1),0)</f>
        <v/>
      </c>
      <c r="AE35" s="16">
        <f>IF(($G$35&lt;=DATE(2026,3,31))*($H$35&gt;=DATE(2026,1,1)),$C$35 * $F$35 * MAX(0, MIN((YEAR($H$35)*12+MONTH($H$35)), (YEAR(DATE(2026,3,31))*12+MONTH(DATE(2026,3,31)))) - MAX((YEAR($G$35)*12+MONTH($G$35)), (YEAR(DATE(2026,1,1))*12+MONTH(DATE(2026,1,1)))) + 1),0)</f>
        <v/>
      </c>
      <c r="AF35" s="16">
        <f>IF(($G$35&lt;=DATE(2026,6,30))*($H$35&gt;=DATE(2026,4,1)),$C$35 * $F$35 * MAX(0, MIN((YEAR($H$35)*12+MONTH($H$35)), (YEAR(DATE(2026,6,30))*12+MONTH(DATE(2026,6,30)))) - MAX((YEAR($G$35)*12+MONTH($G$35)), (YEAR(DATE(2026,4,1))*12+MONTH(DATE(2026,4,1)))) + 1),0)</f>
        <v/>
      </c>
      <c r="AG35" s="16">
        <f>IF(($G$35&lt;=DATE(2026,9,30))*($H$35&gt;=DATE(2026,7,1)),$C$35 * $F$35 * MAX(0, MIN((YEAR($H$35)*12+MONTH($H$35)), (YEAR(DATE(2026,9,30))*12+MONTH(DATE(2026,9,30)))) - MAX((YEAR($G$35)*12+MONTH($G$35)), (YEAR(DATE(2026,7,1))*12+MONTH(DATE(2026,7,1)))) + 1),0)</f>
        <v/>
      </c>
      <c r="AH35" s="16">
        <f>IF(($G$35&lt;=DATE(2026,12,31))*($H$35&gt;=DATE(2026,10,1)),$C$35 * $F$35 * MAX(0, MIN((YEAR($H$35)*12+MONTH($H$35)), (YEAR(DATE(2026,12,31))*12+MONTH(DATE(2026,12,31)))) - MAX((YEAR($G$35)*12+MONTH($G$35)), (YEAR(DATE(2026,10,1))*12+MONTH(DATE(2026,10,1)))) + 1),0)</f>
        <v/>
      </c>
      <c r="AI35" s="16">
        <f>IF(($G$35&lt;=DATE(2027,3,31))*($H$35&gt;=DATE(2027,1,1)),$C$35 * $F$35 * MAX(0, MIN((YEAR($H$35)*12+MONTH($H$35)), (YEAR(DATE(2027,3,31))*12+MONTH(DATE(2027,3,31)))) - MAX((YEAR($G$35)*12+MONTH($G$35)), (YEAR(DATE(2027,1,1))*12+MONTH(DATE(2027,1,1)))) + 1),0)</f>
        <v/>
      </c>
      <c r="AJ35" s="16">
        <f>IF(($G$35&lt;=DATE(2027,6,30))*($H$35&gt;=DATE(2027,4,1)),$C$35 * $F$35 * MAX(0, MIN((YEAR($H$35)*12+MONTH($H$35)), (YEAR(DATE(2027,6,30))*12+MONTH(DATE(2027,6,30)))) - MAX((YEAR($G$35)*12+MONTH($G$35)), (YEAR(DATE(2027,4,1))*12+MONTH(DATE(2027,4,1)))) + 1),0)</f>
        <v/>
      </c>
      <c r="AK35" s="16">
        <f>IF(($G$35&lt;=DATE(2027,9,30))*($H$35&gt;=DATE(2027,7,1)),$C$35 * $F$35 * MAX(0, MIN((YEAR($H$35)*12+MONTH($H$35)), (YEAR(DATE(2027,9,30))*12+MONTH(DATE(2027,9,30)))) - MAX((YEAR($G$35)*12+MONTH($G$35)), (YEAR(DATE(2027,7,1))*12+MONTH(DATE(2027,7,1)))) + 1),0)</f>
        <v/>
      </c>
      <c r="AL35" s="16">
        <f>IF(($G$35&lt;=DATE(2027,12,31))*($H$35&gt;=DATE(2027,10,1)),$C$35 * $F$35 * MAX(0, MIN((YEAR($H$35)*12+MONTH($H$35)), (YEAR(DATE(2027,12,31))*12+MONTH(DATE(2027,12,31)))) - MAX((YEAR($G$35)*12+MONTH($G$35)), (YEAR(DATE(2027,10,1))*12+MONTH(DATE(2027,10,1)))) + 1),0)</f>
        <v/>
      </c>
      <c r="AM35" s="16">
        <f>IF(($G$35&lt;=DATE(2028,3,31))*($H$35&gt;=DATE(2028,1,1)),$C$35 * $F$35 * MAX(0, MIN((YEAR($H$35)*12+MONTH($H$35)), (YEAR(DATE(2028,3,31))*12+MONTH(DATE(2028,3,31)))) - MAX((YEAR($G$35)*12+MONTH($G$35)), (YEAR(DATE(2028,1,1))*12+MONTH(DATE(2028,1,1)))) + 1),0)</f>
        <v/>
      </c>
      <c r="AN35" s="16">
        <f>IF(($G$35&lt;=DATE(2028,6,30))*($H$35&gt;=DATE(2028,4,1)),$C$35 * $F$35 * MAX(0, MIN((YEAR($H$35)*12+MONTH($H$35)), (YEAR(DATE(2028,6,30))*12+MONTH(DATE(2028,6,30)))) - MAX((YEAR($G$35)*12+MONTH($G$35)), (YEAR(DATE(2028,4,1))*12+MONTH(DATE(2028,4,1)))) + 1),0)</f>
        <v/>
      </c>
      <c r="AO35" s="16">
        <f>IF(($G$35&lt;=DATE(2028,9,30))*($H$35&gt;=DATE(2028,7,1)),$C$35 * $F$35 * MAX(0, MIN((YEAR($H$35)*12+MONTH($H$35)), (YEAR(DATE(2028,9,30))*12+MONTH(DATE(2028,9,30)))) - MAX((YEAR($G$35)*12+MONTH($G$35)), (YEAR(DATE(2028,7,1))*12+MONTH(DATE(2028,7,1)))) + 1),0)</f>
        <v/>
      </c>
      <c r="AP35" s="16">
        <f>IF(($G$35&lt;=DATE(2028,12,31))*($H$35&gt;=DATE(2028,10,1)),$C$35 * $F$35 * MAX(0, MIN((YEAR($H$35)*12+MONTH($H$35)), (YEAR(DATE(2028,12,31))*12+MONTH(DATE(2028,12,31)))) - MAX((YEAR($G$35)*12+MONTH($G$35)), (YEAR(DATE(2028,10,1))*12+MONTH(DATE(2028,10,1)))) + 1),0)</f>
        <v/>
      </c>
      <c r="AQ35" s="16">
        <f>IF(AND($D$35 &gt;= DATE(2021,1,1), $D$35 &lt;= DATE(2021,3,31)), $C$35 * $E$35 * $F$35, 0)</f>
        <v/>
      </c>
      <c r="AR35" s="16">
        <f>IF(AND($D$35 &gt;= DATE(2021,4,1), $D$35 &lt;= DATE(2021,6,30)), $C$35 * $E$35 * $F$35, 0)</f>
        <v/>
      </c>
      <c r="AS35" s="16">
        <f>IF(AND($D$35 &gt;= DATE(2021,7,1), $D$35 &lt;= DATE(2021,9,30)), $C$35 * $E$35 * $F$35, 0)</f>
        <v/>
      </c>
      <c r="AT35" s="16">
        <f>IF(AND($D$35 &gt;= DATE(2021,10,1), $D$35 &lt;= DATE(2021,12,31)), $C$35 * $E$35 * $F$35, 0)</f>
        <v/>
      </c>
      <c r="AU35" s="16">
        <f>IF(AND($D$35 &gt;= DATE(2022,1,1), $D$35 &lt;= DATE(2022,3,31)), $C$35 * $E$35 * $F$35, 0)</f>
        <v/>
      </c>
      <c r="AV35" s="16">
        <f>IF(AND($D$35 &gt;= DATE(2022,4,1), $D$35 &lt;= DATE(2022,6,30)), $C$35 * $E$35 * $F$35, 0)</f>
        <v/>
      </c>
      <c r="AW35" s="16">
        <f>IF(AND($D$35 &gt;= DATE(2022,7,1), $D$35 &lt;= DATE(2022,9,30)), $C$35 * $E$35 * $F$35, 0)</f>
        <v/>
      </c>
      <c r="AX35" s="16">
        <f>IF(AND($D$35 &gt;= DATE(2022,10,1), $D$35 &lt;= DATE(2022,12,31)), $C$35 * $E$35 * $F$35, 0)</f>
        <v/>
      </c>
      <c r="AY35" s="16">
        <f>IF(AND($D$35 &gt;= DATE(2023,1,1), $D$35 &lt;= DATE(2023,3,31)), $C$35 * $E$35 * $F$35, 0)</f>
        <v/>
      </c>
      <c r="AZ35" s="16">
        <f>IF(AND($D$35 &gt;= DATE(2023,4,1), $D$35 &lt;= DATE(2023,6,30)), $C$35 * $E$35 * $F$35, 0)</f>
        <v/>
      </c>
      <c r="BA35" s="16">
        <f>IF(AND($D$35 &gt;= DATE(2023,7,1), $D$35 &lt;= DATE(2023,9,30)), $C$35 * $E$35 * $F$35, 0)</f>
        <v/>
      </c>
      <c r="BB35" s="16">
        <f>IF(AND($D$35 &gt;= DATE(2023,10,1), $D$35 &lt;= DATE(2023,12,31)), $C$35 * $E$35 * $F$35, 0)</f>
        <v/>
      </c>
      <c r="BC35" s="16">
        <f>IF(AND($D$35 &gt;= DATE(2024,1,1), $D$35 &lt;= DATE(2024,3,31)), $C$35 * $E$35 * $F$35, 0)</f>
        <v/>
      </c>
      <c r="BD35" s="16">
        <f>IF(AND($D$35 &gt;= DATE(2024,4,1), $D$35 &lt;= DATE(2024,6,30)), $C$35 * $E$35 * $F$35, 0)</f>
        <v/>
      </c>
      <c r="BE35" s="16">
        <f>IF(AND($D$35 &gt;= DATE(2024,7,1), $D$35 &lt;= DATE(2024,9,30)), $C$35 * $E$35 * $F$35, 0)</f>
        <v/>
      </c>
      <c r="BF35" s="16">
        <f>IF(AND($D$35 &gt;= DATE(2024,10,1), $D$35 &lt;= DATE(2024,12,31)), $C$35 * $E$35 * $F$35, 0)</f>
        <v/>
      </c>
      <c r="BG35" s="16">
        <f>IF(AND($D$35 &gt;= DATE(2025,1,1), $D$35 &lt;= DATE(2025,3,31)), $C$35 * $E$35 * $F$35, 0)</f>
        <v/>
      </c>
      <c r="BH35" s="16">
        <f>IF(AND($D$35 &gt;= DATE(2025,4,1), $D$35 &lt;= DATE(2025,6,30)), $C$35 * $E$35 * $F$35, 0)</f>
        <v/>
      </c>
      <c r="BI35" s="16">
        <f>IF(AND($D$35 &gt;= DATE(2025,7,1), $D$35 &lt;= DATE(2025,9,30)), $C$35 * $E$35 * $F$35, 0)</f>
        <v/>
      </c>
      <c r="BJ35" s="16">
        <f>IF(AND($D$35 &gt;= DATE(2025,10,1), $D$35 &lt;= DATE(2025,12,31)), $C$35 * $E$35 * $F$35, 0)</f>
        <v/>
      </c>
      <c r="BK35" s="16">
        <f>IF(AND($D$35 &gt;= DATE(2026,1,1), $D$35 &lt;= DATE(2026,3,31)), $C$35 * $E$35 * $F$35, 0)</f>
        <v/>
      </c>
      <c r="BL35" s="16">
        <f>IF(AND($D$35 &gt;= DATE(2026,4,1), $D$35 &lt;= DATE(2026,6,30)), $C$35 * $E$35 * $F$35, 0)</f>
        <v/>
      </c>
      <c r="BM35" s="16">
        <f>IF(AND($D$35 &gt;= DATE(2026,7,1), $D$35 &lt;= DATE(2026,9,30)), $C$35 * $E$35 * $F$35, 0)</f>
        <v/>
      </c>
      <c r="BN35" s="16">
        <f>IF(AND($D$35 &gt;= DATE(2026,10,1), $D$35 &lt;= DATE(2026,12,31)), $C$35 * $E$35 * $F$35, 0)</f>
        <v/>
      </c>
      <c r="BO35" s="16">
        <f>IF(AND($D$35 &gt;= DATE(2027,1,1), $D$35 &lt;= DATE(2027,3,31)), $C$35 * $E$35 * $F$35, 0)</f>
        <v/>
      </c>
      <c r="BP35" s="16">
        <f>IF(AND($D$35 &gt;= DATE(2027,4,1), $D$35 &lt;= DATE(2027,6,30)), $C$35 * $E$35 * $F$35, 0)</f>
        <v/>
      </c>
      <c r="BQ35" s="16">
        <f>IF(AND($D$35 &gt;= DATE(2027,7,1), $D$35 &lt;= DATE(2027,9,30)), $C$35 * $E$35 * $F$35, 0)</f>
        <v/>
      </c>
      <c r="BR35" s="16">
        <f>IF(AND($D$35 &gt;= DATE(2027,10,1), $D$35 &lt;= DATE(2027,12,31)), $C$35 * $E$35 * $F$35, 0)</f>
        <v/>
      </c>
      <c r="BS35" s="16">
        <f>IF(AND($D$35 &gt;= DATE(2028,1,1), $D$35 &lt;= DATE(2028,3,31)), $C$35 * $E$35 * $F$35, 0)</f>
        <v/>
      </c>
      <c r="BT35" s="16">
        <f>IF(AND($D$35 &gt;= DATE(2028,4,1), $D$35 &lt;= DATE(2028,6,30)), $C$35 * $E$35 * $F$35, 0)</f>
        <v/>
      </c>
      <c r="BU35" s="16">
        <f>IF(AND($D$35 &gt;= DATE(2028,7,1), $D$35 &lt;= DATE(2028,9,30)), $C$35 * $E$35 * $F$35, 0)</f>
        <v/>
      </c>
      <c r="BV35" s="16">
        <f>IF(AND($D$35 &gt;= DATE(2028,10,1), $D$35 &lt;= DATE(2028,12,31)), $C$35 * $E$35 * $F$35, 0)</f>
        <v/>
      </c>
    </row>
    <row r="36">
      <c r="B36" t="inlineStr">
        <is>
          <t>Westgate &gt; Delmar Mining &gt; Drivetrain Integration</t>
        </is>
      </c>
      <c r="C36" s="16" t="n">
        <v>22500</v>
      </c>
      <c r="D36" s="18" t="n">
        <v>46388</v>
      </c>
      <c r="E36" s="16" t="n">
        <v>2</v>
      </c>
      <c r="F36" s="19" t="n">
        <v>0.1</v>
      </c>
      <c r="G36" s="18" t="n">
        <v>46419</v>
      </c>
      <c r="H36" s="18" t="n">
        <v>46447</v>
      </c>
      <c r="I36" s="16">
        <f>$C$36 * $E$36</f>
        <v/>
      </c>
      <c r="J36" s="20">
        <f>$C$36 * $E$36 * $F$36</f>
        <v/>
      </c>
      <c r="K36" s="16">
        <f>IF(($G$36&lt;=DATE(2021,3,31))*($H$36&gt;=DATE(2021,1,1)),$C$36 * $F$36 * MAX(0, MIN((YEAR($H$36)*12+MONTH($H$36)), (YEAR(DATE(2021,3,31))*12+MONTH(DATE(2021,3,31)))) - MAX((YEAR($G$36)*12+MONTH($G$36)), (YEAR(DATE(2021,1,1))*12+MONTH(DATE(2021,1,1)))) + 1),0)</f>
        <v/>
      </c>
      <c r="L36" s="16">
        <f>IF(($G$36&lt;=DATE(2021,6,30))*($H$36&gt;=DATE(2021,4,1)),$C$36 * $F$36 * MAX(0, MIN((YEAR($H$36)*12+MONTH($H$36)), (YEAR(DATE(2021,6,30))*12+MONTH(DATE(2021,6,30)))) - MAX((YEAR($G$36)*12+MONTH($G$36)), (YEAR(DATE(2021,4,1))*12+MONTH(DATE(2021,4,1)))) + 1),0)</f>
        <v/>
      </c>
      <c r="M36" s="16">
        <f>IF(($G$36&lt;=DATE(2021,9,30))*($H$36&gt;=DATE(2021,7,1)),$C$36 * $F$36 * MAX(0, MIN((YEAR($H$36)*12+MONTH($H$36)), (YEAR(DATE(2021,9,30))*12+MONTH(DATE(2021,9,30)))) - MAX((YEAR($G$36)*12+MONTH($G$36)), (YEAR(DATE(2021,7,1))*12+MONTH(DATE(2021,7,1)))) + 1),0)</f>
        <v/>
      </c>
      <c r="N36" s="16">
        <f>IF(($G$36&lt;=DATE(2021,12,31))*($H$36&gt;=DATE(2021,10,1)),$C$36 * $F$36 * MAX(0, MIN((YEAR($H$36)*12+MONTH($H$36)), (YEAR(DATE(2021,12,31))*12+MONTH(DATE(2021,12,31)))) - MAX((YEAR($G$36)*12+MONTH($G$36)), (YEAR(DATE(2021,10,1))*12+MONTH(DATE(2021,10,1)))) + 1),0)</f>
        <v/>
      </c>
      <c r="O36" s="16">
        <f>IF(($G$36&lt;=DATE(2022,3,31))*($H$36&gt;=DATE(2022,1,1)),$C$36 * $F$36 * MAX(0, MIN((YEAR($H$36)*12+MONTH($H$36)), (YEAR(DATE(2022,3,31))*12+MONTH(DATE(2022,3,31)))) - MAX((YEAR($G$36)*12+MONTH($G$36)), (YEAR(DATE(2022,1,1))*12+MONTH(DATE(2022,1,1)))) + 1),0)</f>
        <v/>
      </c>
      <c r="P36" s="16">
        <f>IF(($G$36&lt;=DATE(2022,6,30))*($H$36&gt;=DATE(2022,4,1)),$C$36 * $F$36 * MAX(0, MIN((YEAR($H$36)*12+MONTH($H$36)), (YEAR(DATE(2022,6,30))*12+MONTH(DATE(2022,6,30)))) - MAX((YEAR($G$36)*12+MONTH($G$36)), (YEAR(DATE(2022,4,1))*12+MONTH(DATE(2022,4,1)))) + 1),0)</f>
        <v/>
      </c>
      <c r="Q36" s="16">
        <f>IF(($G$36&lt;=DATE(2022,9,30))*($H$36&gt;=DATE(2022,7,1)),$C$36 * $F$36 * MAX(0, MIN((YEAR($H$36)*12+MONTH($H$36)), (YEAR(DATE(2022,9,30))*12+MONTH(DATE(2022,9,30)))) - MAX((YEAR($G$36)*12+MONTH($G$36)), (YEAR(DATE(2022,7,1))*12+MONTH(DATE(2022,7,1)))) + 1),0)</f>
        <v/>
      </c>
      <c r="R36" s="16">
        <f>IF(($G$36&lt;=DATE(2022,12,31))*($H$36&gt;=DATE(2022,10,1)),$C$36 * $F$36 * MAX(0, MIN((YEAR($H$36)*12+MONTH($H$36)), (YEAR(DATE(2022,12,31))*12+MONTH(DATE(2022,12,31)))) - MAX((YEAR($G$36)*12+MONTH($G$36)), (YEAR(DATE(2022,10,1))*12+MONTH(DATE(2022,10,1)))) + 1),0)</f>
        <v/>
      </c>
      <c r="S36" s="16">
        <f>IF(($G$36&lt;=DATE(2023,3,31))*($H$36&gt;=DATE(2023,1,1)),$C$36 * $F$36 * MAX(0, MIN((YEAR($H$36)*12+MONTH($H$36)), (YEAR(DATE(2023,3,31))*12+MONTH(DATE(2023,3,31)))) - MAX((YEAR($G$36)*12+MONTH($G$36)), (YEAR(DATE(2023,1,1))*12+MONTH(DATE(2023,1,1)))) + 1),0)</f>
        <v/>
      </c>
      <c r="T36" s="16">
        <f>IF(($G$36&lt;=DATE(2023,6,30))*($H$36&gt;=DATE(2023,4,1)),$C$36 * $F$36 * MAX(0, MIN((YEAR($H$36)*12+MONTH($H$36)), (YEAR(DATE(2023,6,30))*12+MONTH(DATE(2023,6,30)))) - MAX((YEAR($G$36)*12+MONTH($G$36)), (YEAR(DATE(2023,4,1))*12+MONTH(DATE(2023,4,1)))) + 1),0)</f>
        <v/>
      </c>
      <c r="U36" s="16">
        <f>IF(($G$36&lt;=DATE(2023,9,30))*($H$36&gt;=DATE(2023,7,1)),$C$36 * $F$36 * MAX(0, MIN((YEAR($H$36)*12+MONTH($H$36)), (YEAR(DATE(2023,9,30))*12+MONTH(DATE(2023,9,30)))) - MAX((YEAR($G$36)*12+MONTH($G$36)), (YEAR(DATE(2023,7,1))*12+MONTH(DATE(2023,7,1)))) + 1),0)</f>
        <v/>
      </c>
      <c r="V36" s="16">
        <f>IF(($G$36&lt;=DATE(2023,12,31))*($H$36&gt;=DATE(2023,10,1)),$C$36 * $F$36 * MAX(0, MIN((YEAR($H$36)*12+MONTH($H$36)), (YEAR(DATE(2023,12,31))*12+MONTH(DATE(2023,12,31)))) - MAX((YEAR($G$36)*12+MONTH($G$36)), (YEAR(DATE(2023,10,1))*12+MONTH(DATE(2023,10,1)))) + 1),0)</f>
        <v/>
      </c>
      <c r="W36" s="16">
        <f>IF(($G$36&lt;=DATE(2024,3,31))*($H$36&gt;=DATE(2024,1,1)),$C$36 * $F$36 * MAX(0, MIN((YEAR($H$36)*12+MONTH($H$36)), (YEAR(DATE(2024,3,31))*12+MONTH(DATE(2024,3,31)))) - MAX((YEAR($G$36)*12+MONTH($G$36)), (YEAR(DATE(2024,1,1))*12+MONTH(DATE(2024,1,1)))) + 1),0)</f>
        <v/>
      </c>
      <c r="X36" s="16">
        <f>IF(($G$36&lt;=DATE(2024,6,30))*($H$36&gt;=DATE(2024,4,1)),$C$36 * $F$36 * MAX(0, MIN((YEAR($H$36)*12+MONTH($H$36)), (YEAR(DATE(2024,6,30))*12+MONTH(DATE(2024,6,30)))) - MAX((YEAR($G$36)*12+MONTH($G$36)), (YEAR(DATE(2024,4,1))*12+MONTH(DATE(2024,4,1)))) + 1),0)</f>
        <v/>
      </c>
      <c r="Y36" s="16">
        <f>IF(($G$36&lt;=DATE(2024,9,30))*($H$36&gt;=DATE(2024,7,1)),$C$36 * $F$36 * MAX(0, MIN((YEAR($H$36)*12+MONTH($H$36)), (YEAR(DATE(2024,9,30))*12+MONTH(DATE(2024,9,30)))) - MAX((YEAR($G$36)*12+MONTH($G$36)), (YEAR(DATE(2024,7,1))*12+MONTH(DATE(2024,7,1)))) + 1),0)</f>
        <v/>
      </c>
      <c r="Z36" s="16">
        <f>IF(($G$36&lt;=DATE(2024,12,31))*($H$36&gt;=DATE(2024,10,1)),$C$36 * $F$36 * MAX(0, MIN((YEAR($H$36)*12+MONTH($H$36)), (YEAR(DATE(2024,12,31))*12+MONTH(DATE(2024,12,31)))) - MAX((YEAR($G$36)*12+MONTH($G$36)), (YEAR(DATE(2024,10,1))*12+MONTH(DATE(2024,10,1)))) + 1),0)</f>
        <v/>
      </c>
      <c r="AA36" s="16">
        <f>IF(($G$36&lt;=DATE(2025,3,31))*($H$36&gt;=DATE(2025,1,1)),$C$36 * $F$36 * MAX(0, MIN((YEAR($H$36)*12+MONTH($H$36)), (YEAR(DATE(2025,3,31))*12+MONTH(DATE(2025,3,31)))) - MAX((YEAR($G$36)*12+MONTH($G$36)), (YEAR(DATE(2025,1,1))*12+MONTH(DATE(2025,1,1)))) + 1),0)</f>
        <v/>
      </c>
      <c r="AB36" s="16">
        <f>IF(($G$36&lt;=DATE(2025,6,30))*($H$36&gt;=DATE(2025,4,1)),$C$36 * $F$36 * MAX(0, MIN((YEAR($H$36)*12+MONTH($H$36)), (YEAR(DATE(2025,6,30))*12+MONTH(DATE(2025,6,30)))) - MAX((YEAR($G$36)*12+MONTH($G$36)), (YEAR(DATE(2025,4,1))*12+MONTH(DATE(2025,4,1)))) + 1),0)</f>
        <v/>
      </c>
      <c r="AC36" s="16">
        <f>IF(($G$36&lt;=DATE(2025,9,30))*($H$36&gt;=DATE(2025,7,1)),$C$36 * $F$36 * MAX(0, MIN((YEAR($H$36)*12+MONTH($H$36)), (YEAR(DATE(2025,9,30))*12+MONTH(DATE(2025,9,30)))) - MAX((YEAR($G$36)*12+MONTH($G$36)), (YEAR(DATE(2025,7,1))*12+MONTH(DATE(2025,7,1)))) + 1),0)</f>
        <v/>
      </c>
      <c r="AD36" s="16">
        <f>IF(($G$36&lt;=DATE(2025,12,31))*($H$36&gt;=DATE(2025,10,1)),$C$36 * $F$36 * MAX(0, MIN((YEAR($H$36)*12+MONTH($H$36)), (YEAR(DATE(2025,12,31))*12+MONTH(DATE(2025,12,31)))) - MAX((YEAR($G$36)*12+MONTH($G$36)), (YEAR(DATE(2025,10,1))*12+MONTH(DATE(2025,10,1)))) + 1),0)</f>
        <v/>
      </c>
      <c r="AE36" s="16">
        <f>IF(($G$36&lt;=DATE(2026,3,31))*($H$36&gt;=DATE(2026,1,1)),$C$36 * $F$36 * MAX(0, MIN((YEAR($H$36)*12+MONTH($H$36)), (YEAR(DATE(2026,3,31))*12+MONTH(DATE(2026,3,31)))) - MAX((YEAR($G$36)*12+MONTH($G$36)), (YEAR(DATE(2026,1,1))*12+MONTH(DATE(2026,1,1)))) + 1),0)</f>
        <v/>
      </c>
      <c r="AF36" s="16">
        <f>IF(($G$36&lt;=DATE(2026,6,30))*($H$36&gt;=DATE(2026,4,1)),$C$36 * $F$36 * MAX(0, MIN((YEAR($H$36)*12+MONTH($H$36)), (YEAR(DATE(2026,6,30))*12+MONTH(DATE(2026,6,30)))) - MAX((YEAR($G$36)*12+MONTH($G$36)), (YEAR(DATE(2026,4,1))*12+MONTH(DATE(2026,4,1)))) + 1),0)</f>
        <v/>
      </c>
      <c r="AG36" s="16">
        <f>IF(($G$36&lt;=DATE(2026,9,30))*($H$36&gt;=DATE(2026,7,1)),$C$36 * $F$36 * MAX(0, MIN((YEAR($H$36)*12+MONTH($H$36)), (YEAR(DATE(2026,9,30))*12+MONTH(DATE(2026,9,30)))) - MAX((YEAR($G$36)*12+MONTH($G$36)), (YEAR(DATE(2026,7,1))*12+MONTH(DATE(2026,7,1)))) + 1),0)</f>
        <v/>
      </c>
      <c r="AH36" s="16">
        <f>IF(($G$36&lt;=DATE(2026,12,31))*($H$36&gt;=DATE(2026,10,1)),$C$36 * $F$36 * MAX(0, MIN((YEAR($H$36)*12+MONTH($H$36)), (YEAR(DATE(2026,12,31))*12+MONTH(DATE(2026,12,31)))) - MAX((YEAR($G$36)*12+MONTH($G$36)), (YEAR(DATE(2026,10,1))*12+MONTH(DATE(2026,10,1)))) + 1),0)</f>
        <v/>
      </c>
      <c r="AI36" s="16">
        <f>IF(($G$36&lt;=DATE(2027,3,31))*($H$36&gt;=DATE(2027,1,1)),$C$36 * $F$36 * MAX(0, MIN((YEAR($H$36)*12+MONTH($H$36)), (YEAR(DATE(2027,3,31))*12+MONTH(DATE(2027,3,31)))) - MAX((YEAR($G$36)*12+MONTH($G$36)), (YEAR(DATE(2027,1,1))*12+MONTH(DATE(2027,1,1)))) + 1),0)</f>
        <v/>
      </c>
      <c r="AJ36" s="16">
        <f>IF(($G$36&lt;=DATE(2027,6,30))*($H$36&gt;=DATE(2027,4,1)),$C$36 * $F$36 * MAX(0, MIN((YEAR($H$36)*12+MONTH($H$36)), (YEAR(DATE(2027,6,30))*12+MONTH(DATE(2027,6,30)))) - MAX((YEAR($G$36)*12+MONTH($G$36)), (YEAR(DATE(2027,4,1))*12+MONTH(DATE(2027,4,1)))) + 1),0)</f>
        <v/>
      </c>
      <c r="AK36" s="16">
        <f>IF(($G$36&lt;=DATE(2027,9,30))*($H$36&gt;=DATE(2027,7,1)),$C$36 * $F$36 * MAX(0, MIN((YEAR($H$36)*12+MONTH($H$36)), (YEAR(DATE(2027,9,30))*12+MONTH(DATE(2027,9,30)))) - MAX((YEAR($G$36)*12+MONTH($G$36)), (YEAR(DATE(2027,7,1))*12+MONTH(DATE(2027,7,1)))) + 1),0)</f>
        <v/>
      </c>
      <c r="AL36" s="16">
        <f>IF(($G$36&lt;=DATE(2027,12,31))*($H$36&gt;=DATE(2027,10,1)),$C$36 * $F$36 * MAX(0, MIN((YEAR($H$36)*12+MONTH($H$36)), (YEAR(DATE(2027,12,31))*12+MONTH(DATE(2027,12,31)))) - MAX((YEAR($G$36)*12+MONTH($G$36)), (YEAR(DATE(2027,10,1))*12+MONTH(DATE(2027,10,1)))) + 1),0)</f>
        <v/>
      </c>
      <c r="AM36" s="16">
        <f>IF(($G$36&lt;=DATE(2028,3,31))*($H$36&gt;=DATE(2028,1,1)),$C$36 * $F$36 * MAX(0, MIN((YEAR($H$36)*12+MONTH($H$36)), (YEAR(DATE(2028,3,31))*12+MONTH(DATE(2028,3,31)))) - MAX((YEAR($G$36)*12+MONTH($G$36)), (YEAR(DATE(2028,1,1))*12+MONTH(DATE(2028,1,1)))) + 1),0)</f>
        <v/>
      </c>
      <c r="AN36" s="16">
        <f>IF(($G$36&lt;=DATE(2028,6,30))*($H$36&gt;=DATE(2028,4,1)),$C$36 * $F$36 * MAX(0, MIN((YEAR($H$36)*12+MONTH($H$36)), (YEAR(DATE(2028,6,30))*12+MONTH(DATE(2028,6,30)))) - MAX((YEAR($G$36)*12+MONTH($G$36)), (YEAR(DATE(2028,4,1))*12+MONTH(DATE(2028,4,1)))) + 1),0)</f>
        <v/>
      </c>
      <c r="AO36" s="16">
        <f>IF(($G$36&lt;=DATE(2028,9,30))*($H$36&gt;=DATE(2028,7,1)),$C$36 * $F$36 * MAX(0, MIN((YEAR($H$36)*12+MONTH($H$36)), (YEAR(DATE(2028,9,30))*12+MONTH(DATE(2028,9,30)))) - MAX((YEAR($G$36)*12+MONTH($G$36)), (YEAR(DATE(2028,7,1))*12+MONTH(DATE(2028,7,1)))) + 1),0)</f>
        <v/>
      </c>
      <c r="AP36" s="16">
        <f>IF(($G$36&lt;=DATE(2028,12,31))*($H$36&gt;=DATE(2028,10,1)),$C$36 * $F$36 * MAX(0, MIN((YEAR($H$36)*12+MONTH($H$36)), (YEAR(DATE(2028,12,31))*12+MONTH(DATE(2028,12,31)))) - MAX((YEAR($G$36)*12+MONTH($G$36)), (YEAR(DATE(2028,10,1))*12+MONTH(DATE(2028,10,1)))) + 1),0)</f>
        <v/>
      </c>
      <c r="AQ36" s="16">
        <f>IF(AND($D$36 &gt;= DATE(2021,1,1), $D$36 &lt;= DATE(2021,3,31)), $C$36 * $E$36 * $F$36, 0)</f>
        <v/>
      </c>
      <c r="AR36" s="16">
        <f>IF(AND($D$36 &gt;= DATE(2021,4,1), $D$36 &lt;= DATE(2021,6,30)), $C$36 * $E$36 * $F$36, 0)</f>
        <v/>
      </c>
      <c r="AS36" s="16">
        <f>IF(AND($D$36 &gt;= DATE(2021,7,1), $D$36 &lt;= DATE(2021,9,30)), $C$36 * $E$36 * $F$36, 0)</f>
        <v/>
      </c>
      <c r="AT36" s="16">
        <f>IF(AND($D$36 &gt;= DATE(2021,10,1), $D$36 &lt;= DATE(2021,12,31)), $C$36 * $E$36 * $F$36, 0)</f>
        <v/>
      </c>
      <c r="AU36" s="16">
        <f>IF(AND($D$36 &gt;= DATE(2022,1,1), $D$36 &lt;= DATE(2022,3,31)), $C$36 * $E$36 * $F$36, 0)</f>
        <v/>
      </c>
      <c r="AV36" s="16">
        <f>IF(AND($D$36 &gt;= DATE(2022,4,1), $D$36 &lt;= DATE(2022,6,30)), $C$36 * $E$36 * $F$36, 0)</f>
        <v/>
      </c>
      <c r="AW36" s="16">
        <f>IF(AND($D$36 &gt;= DATE(2022,7,1), $D$36 &lt;= DATE(2022,9,30)), $C$36 * $E$36 * $F$36, 0)</f>
        <v/>
      </c>
      <c r="AX36" s="16">
        <f>IF(AND($D$36 &gt;= DATE(2022,10,1), $D$36 &lt;= DATE(2022,12,31)), $C$36 * $E$36 * $F$36, 0)</f>
        <v/>
      </c>
      <c r="AY36" s="16">
        <f>IF(AND($D$36 &gt;= DATE(2023,1,1), $D$36 &lt;= DATE(2023,3,31)), $C$36 * $E$36 * $F$36, 0)</f>
        <v/>
      </c>
      <c r="AZ36" s="16">
        <f>IF(AND($D$36 &gt;= DATE(2023,4,1), $D$36 &lt;= DATE(2023,6,30)), $C$36 * $E$36 * $F$36, 0)</f>
        <v/>
      </c>
      <c r="BA36" s="16">
        <f>IF(AND($D$36 &gt;= DATE(2023,7,1), $D$36 &lt;= DATE(2023,9,30)), $C$36 * $E$36 * $F$36, 0)</f>
        <v/>
      </c>
      <c r="BB36" s="16">
        <f>IF(AND($D$36 &gt;= DATE(2023,10,1), $D$36 &lt;= DATE(2023,12,31)), $C$36 * $E$36 * $F$36, 0)</f>
        <v/>
      </c>
      <c r="BC36" s="16">
        <f>IF(AND($D$36 &gt;= DATE(2024,1,1), $D$36 &lt;= DATE(2024,3,31)), $C$36 * $E$36 * $F$36, 0)</f>
        <v/>
      </c>
      <c r="BD36" s="16">
        <f>IF(AND($D$36 &gt;= DATE(2024,4,1), $D$36 &lt;= DATE(2024,6,30)), $C$36 * $E$36 * $F$36, 0)</f>
        <v/>
      </c>
      <c r="BE36" s="16">
        <f>IF(AND($D$36 &gt;= DATE(2024,7,1), $D$36 &lt;= DATE(2024,9,30)), $C$36 * $E$36 * $F$36, 0)</f>
        <v/>
      </c>
      <c r="BF36" s="16">
        <f>IF(AND($D$36 &gt;= DATE(2024,10,1), $D$36 &lt;= DATE(2024,12,31)), $C$36 * $E$36 * $F$36, 0)</f>
        <v/>
      </c>
      <c r="BG36" s="16">
        <f>IF(AND($D$36 &gt;= DATE(2025,1,1), $D$36 &lt;= DATE(2025,3,31)), $C$36 * $E$36 * $F$36, 0)</f>
        <v/>
      </c>
      <c r="BH36" s="16">
        <f>IF(AND($D$36 &gt;= DATE(2025,4,1), $D$36 &lt;= DATE(2025,6,30)), $C$36 * $E$36 * $F$36, 0)</f>
        <v/>
      </c>
      <c r="BI36" s="16">
        <f>IF(AND($D$36 &gt;= DATE(2025,7,1), $D$36 &lt;= DATE(2025,9,30)), $C$36 * $E$36 * $F$36, 0)</f>
        <v/>
      </c>
      <c r="BJ36" s="16">
        <f>IF(AND($D$36 &gt;= DATE(2025,10,1), $D$36 &lt;= DATE(2025,12,31)), $C$36 * $E$36 * $F$36, 0)</f>
        <v/>
      </c>
      <c r="BK36" s="16">
        <f>IF(AND($D$36 &gt;= DATE(2026,1,1), $D$36 &lt;= DATE(2026,3,31)), $C$36 * $E$36 * $F$36, 0)</f>
        <v/>
      </c>
      <c r="BL36" s="16">
        <f>IF(AND($D$36 &gt;= DATE(2026,4,1), $D$36 &lt;= DATE(2026,6,30)), $C$36 * $E$36 * $F$36, 0)</f>
        <v/>
      </c>
      <c r="BM36" s="16">
        <f>IF(AND($D$36 &gt;= DATE(2026,7,1), $D$36 &lt;= DATE(2026,9,30)), $C$36 * $E$36 * $F$36, 0)</f>
        <v/>
      </c>
      <c r="BN36" s="16">
        <f>IF(AND($D$36 &gt;= DATE(2026,10,1), $D$36 &lt;= DATE(2026,12,31)), $C$36 * $E$36 * $F$36, 0)</f>
        <v/>
      </c>
      <c r="BO36" s="16">
        <f>IF(AND($D$36 &gt;= DATE(2027,1,1), $D$36 &lt;= DATE(2027,3,31)), $C$36 * $E$36 * $F$36, 0)</f>
        <v/>
      </c>
      <c r="BP36" s="16">
        <f>IF(AND($D$36 &gt;= DATE(2027,4,1), $D$36 &lt;= DATE(2027,6,30)), $C$36 * $E$36 * $F$36, 0)</f>
        <v/>
      </c>
      <c r="BQ36" s="16">
        <f>IF(AND($D$36 &gt;= DATE(2027,7,1), $D$36 &lt;= DATE(2027,9,30)), $C$36 * $E$36 * $F$36, 0)</f>
        <v/>
      </c>
      <c r="BR36" s="16">
        <f>IF(AND($D$36 &gt;= DATE(2027,10,1), $D$36 &lt;= DATE(2027,12,31)), $C$36 * $E$36 * $F$36, 0)</f>
        <v/>
      </c>
      <c r="BS36" s="16">
        <f>IF(AND($D$36 &gt;= DATE(2028,1,1), $D$36 &lt;= DATE(2028,3,31)), $C$36 * $E$36 * $F$36, 0)</f>
        <v/>
      </c>
      <c r="BT36" s="16">
        <f>IF(AND($D$36 &gt;= DATE(2028,4,1), $D$36 &lt;= DATE(2028,6,30)), $C$36 * $E$36 * $F$36, 0)</f>
        <v/>
      </c>
      <c r="BU36" s="16">
        <f>IF(AND($D$36 &gt;= DATE(2028,7,1), $D$36 &lt;= DATE(2028,9,30)), $C$36 * $E$36 * $F$36, 0)</f>
        <v/>
      </c>
      <c r="BV36" s="16">
        <f>IF(AND($D$36 &gt;= DATE(2028,10,1), $D$36 &lt;= DATE(2028,12,31)), $C$36 * $E$36 * $F$36, 0)</f>
        <v/>
      </c>
    </row>
    <row r="37">
      <c r="B37" t="inlineStr">
        <is>
          <t>Northfield &gt; Tessellate Robotics &gt; Pilot Programme</t>
        </is>
      </c>
      <c r="C37" s="16" t="n">
        <v>105000</v>
      </c>
      <c r="D37" s="18" t="n">
        <v>46419</v>
      </c>
      <c r="E37" s="16" t="n">
        <v>6</v>
      </c>
      <c r="F37" s="19" t="n">
        <v>0.6</v>
      </c>
      <c r="G37" s="18" t="n">
        <v>46447</v>
      </c>
      <c r="H37" s="18" t="n">
        <v>46600</v>
      </c>
      <c r="I37" s="16">
        <f>$C$37 * $E$37</f>
        <v/>
      </c>
      <c r="J37" s="20">
        <f>$C$37 * $E$37 * $F$37</f>
        <v/>
      </c>
      <c r="K37" s="16">
        <f>IF(($G$37&lt;=DATE(2021,3,31))*($H$37&gt;=DATE(2021,1,1)),$C$37 * $F$37 * MAX(0, MIN((YEAR($H$37)*12+MONTH($H$37)), (YEAR(DATE(2021,3,31))*12+MONTH(DATE(2021,3,31)))) - MAX((YEAR($G$37)*12+MONTH($G$37)), (YEAR(DATE(2021,1,1))*12+MONTH(DATE(2021,1,1)))) + 1),0)</f>
        <v/>
      </c>
      <c r="L37" s="16">
        <f>IF(($G$37&lt;=DATE(2021,6,30))*($H$37&gt;=DATE(2021,4,1)),$C$37 * $F$37 * MAX(0, MIN((YEAR($H$37)*12+MONTH($H$37)), (YEAR(DATE(2021,6,30))*12+MONTH(DATE(2021,6,30)))) - MAX((YEAR($G$37)*12+MONTH($G$37)), (YEAR(DATE(2021,4,1))*12+MONTH(DATE(2021,4,1)))) + 1),0)</f>
        <v/>
      </c>
      <c r="M37" s="16">
        <f>IF(($G$37&lt;=DATE(2021,9,30))*($H$37&gt;=DATE(2021,7,1)),$C$37 * $F$37 * MAX(0, MIN((YEAR($H$37)*12+MONTH($H$37)), (YEAR(DATE(2021,9,30))*12+MONTH(DATE(2021,9,30)))) - MAX((YEAR($G$37)*12+MONTH($G$37)), (YEAR(DATE(2021,7,1))*12+MONTH(DATE(2021,7,1)))) + 1),0)</f>
        <v/>
      </c>
      <c r="N37" s="16">
        <f>IF(($G$37&lt;=DATE(2021,12,31))*($H$37&gt;=DATE(2021,10,1)),$C$37 * $F$37 * MAX(0, MIN((YEAR($H$37)*12+MONTH($H$37)), (YEAR(DATE(2021,12,31))*12+MONTH(DATE(2021,12,31)))) - MAX((YEAR($G$37)*12+MONTH($G$37)), (YEAR(DATE(2021,10,1))*12+MONTH(DATE(2021,10,1)))) + 1),0)</f>
        <v/>
      </c>
      <c r="O37" s="16">
        <f>IF(($G$37&lt;=DATE(2022,3,31))*($H$37&gt;=DATE(2022,1,1)),$C$37 * $F$37 * MAX(0, MIN((YEAR($H$37)*12+MONTH($H$37)), (YEAR(DATE(2022,3,31))*12+MONTH(DATE(2022,3,31)))) - MAX((YEAR($G$37)*12+MONTH($G$37)), (YEAR(DATE(2022,1,1))*12+MONTH(DATE(2022,1,1)))) + 1),0)</f>
        <v/>
      </c>
      <c r="P37" s="16">
        <f>IF(($G$37&lt;=DATE(2022,6,30))*($H$37&gt;=DATE(2022,4,1)),$C$37 * $F$37 * MAX(0, MIN((YEAR($H$37)*12+MONTH($H$37)), (YEAR(DATE(2022,6,30))*12+MONTH(DATE(2022,6,30)))) - MAX((YEAR($G$37)*12+MONTH($G$37)), (YEAR(DATE(2022,4,1))*12+MONTH(DATE(2022,4,1)))) + 1),0)</f>
        <v/>
      </c>
      <c r="Q37" s="16">
        <f>IF(($G$37&lt;=DATE(2022,9,30))*($H$37&gt;=DATE(2022,7,1)),$C$37 * $F$37 * MAX(0, MIN((YEAR($H$37)*12+MONTH($H$37)), (YEAR(DATE(2022,9,30))*12+MONTH(DATE(2022,9,30)))) - MAX((YEAR($G$37)*12+MONTH($G$37)), (YEAR(DATE(2022,7,1))*12+MONTH(DATE(2022,7,1)))) + 1),0)</f>
        <v/>
      </c>
      <c r="R37" s="16">
        <f>IF(($G$37&lt;=DATE(2022,12,31))*($H$37&gt;=DATE(2022,10,1)),$C$37 * $F$37 * MAX(0, MIN((YEAR($H$37)*12+MONTH($H$37)), (YEAR(DATE(2022,12,31))*12+MONTH(DATE(2022,12,31)))) - MAX((YEAR($G$37)*12+MONTH($G$37)), (YEAR(DATE(2022,10,1))*12+MONTH(DATE(2022,10,1)))) + 1),0)</f>
        <v/>
      </c>
      <c r="S37" s="16">
        <f>IF(($G$37&lt;=DATE(2023,3,31))*($H$37&gt;=DATE(2023,1,1)),$C$37 * $F$37 * MAX(0, MIN((YEAR($H$37)*12+MONTH($H$37)), (YEAR(DATE(2023,3,31))*12+MONTH(DATE(2023,3,31)))) - MAX((YEAR($G$37)*12+MONTH($G$37)), (YEAR(DATE(2023,1,1))*12+MONTH(DATE(2023,1,1)))) + 1),0)</f>
        <v/>
      </c>
      <c r="T37" s="16">
        <f>IF(($G$37&lt;=DATE(2023,6,30))*($H$37&gt;=DATE(2023,4,1)),$C$37 * $F$37 * MAX(0, MIN((YEAR($H$37)*12+MONTH($H$37)), (YEAR(DATE(2023,6,30))*12+MONTH(DATE(2023,6,30)))) - MAX((YEAR($G$37)*12+MONTH($G$37)), (YEAR(DATE(2023,4,1))*12+MONTH(DATE(2023,4,1)))) + 1),0)</f>
        <v/>
      </c>
      <c r="U37" s="16">
        <f>IF(($G$37&lt;=DATE(2023,9,30))*($H$37&gt;=DATE(2023,7,1)),$C$37 * $F$37 * MAX(0, MIN((YEAR($H$37)*12+MONTH($H$37)), (YEAR(DATE(2023,9,30))*12+MONTH(DATE(2023,9,30)))) - MAX((YEAR($G$37)*12+MONTH($G$37)), (YEAR(DATE(2023,7,1))*12+MONTH(DATE(2023,7,1)))) + 1),0)</f>
        <v/>
      </c>
      <c r="V37" s="16">
        <f>IF(($G$37&lt;=DATE(2023,12,31))*($H$37&gt;=DATE(2023,10,1)),$C$37 * $F$37 * MAX(0, MIN((YEAR($H$37)*12+MONTH($H$37)), (YEAR(DATE(2023,12,31))*12+MONTH(DATE(2023,12,31)))) - MAX((YEAR($G$37)*12+MONTH($G$37)), (YEAR(DATE(2023,10,1))*12+MONTH(DATE(2023,10,1)))) + 1),0)</f>
        <v/>
      </c>
      <c r="W37" s="16">
        <f>IF(($G$37&lt;=DATE(2024,3,31))*($H$37&gt;=DATE(2024,1,1)),$C$37 * $F$37 * MAX(0, MIN((YEAR($H$37)*12+MONTH($H$37)), (YEAR(DATE(2024,3,31))*12+MONTH(DATE(2024,3,31)))) - MAX((YEAR($G$37)*12+MONTH($G$37)), (YEAR(DATE(2024,1,1))*12+MONTH(DATE(2024,1,1)))) + 1),0)</f>
        <v/>
      </c>
      <c r="X37" s="16">
        <f>IF(($G$37&lt;=DATE(2024,6,30))*($H$37&gt;=DATE(2024,4,1)),$C$37 * $F$37 * MAX(0, MIN((YEAR($H$37)*12+MONTH($H$37)), (YEAR(DATE(2024,6,30))*12+MONTH(DATE(2024,6,30)))) - MAX((YEAR($G$37)*12+MONTH($G$37)), (YEAR(DATE(2024,4,1))*12+MONTH(DATE(2024,4,1)))) + 1),0)</f>
        <v/>
      </c>
      <c r="Y37" s="16">
        <f>IF(($G$37&lt;=DATE(2024,9,30))*($H$37&gt;=DATE(2024,7,1)),$C$37 * $F$37 * MAX(0, MIN((YEAR($H$37)*12+MONTH($H$37)), (YEAR(DATE(2024,9,30))*12+MONTH(DATE(2024,9,30)))) - MAX((YEAR($G$37)*12+MONTH($G$37)), (YEAR(DATE(2024,7,1))*12+MONTH(DATE(2024,7,1)))) + 1),0)</f>
        <v/>
      </c>
      <c r="Z37" s="16">
        <f>IF(($G$37&lt;=DATE(2024,12,31))*($H$37&gt;=DATE(2024,10,1)),$C$37 * $F$37 * MAX(0, MIN((YEAR($H$37)*12+MONTH($H$37)), (YEAR(DATE(2024,12,31))*12+MONTH(DATE(2024,12,31)))) - MAX((YEAR($G$37)*12+MONTH($G$37)), (YEAR(DATE(2024,10,1))*12+MONTH(DATE(2024,10,1)))) + 1),0)</f>
        <v/>
      </c>
      <c r="AA37" s="16">
        <f>IF(($G$37&lt;=DATE(2025,3,31))*($H$37&gt;=DATE(2025,1,1)),$C$37 * $F$37 * MAX(0, MIN((YEAR($H$37)*12+MONTH($H$37)), (YEAR(DATE(2025,3,31))*12+MONTH(DATE(2025,3,31)))) - MAX((YEAR($G$37)*12+MONTH($G$37)), (YEAR(DATE(2025,1,1))*12+MONTH(DATE(2025,1,1)))) + 1),0)</f>
        <v/>
      </c>
      <c r="AB37" s="16">
        <f>IF(($G$37&lt;=DATE(2025,6,30))*($H$37&gt;=DATE(2025,4,1)),$C$37 * $F$37 * MAX(0, MIN((YEAR($H$37)*12+MONTH($H$37)), (YEAR(DATE(2025,6,30))*12+MONTH(DATE(2025,6,30)))) - MAX((YEAR($G$37)*12+MONTH($G$37)), (YEAR(DATE(2025,4,1))*12+MONTH(DATE(2025,4,1)))) + 1),0)</f>
        <v/>
      </c>
      <c r="AC37" s="16">
        <f>IF(($G$37&lt;=DATE(2025,9,30))*($H$37&gt;=DATE(2025,7,1)),$C$37 * $F$37 * MAX(0, MIN((YEAR($H$37)*12+MONTH($H$37)), (YEAR(DATE(2025,9,30))*12+MONTH(DATE(2025,9,30)))) - MAX((YEAR($G$37)*12+MONTH($G$37)), (YEAR(DATE(2025,7,1))*12+MONTH(DATE(2025,7,1)))) + 1),0)</f>
        <v/>
      </c>
      <c r="AD37" s="16">
        <f>IF(($G$37&lt;=DATE(2025,12,31))*($H$37&gt;=DATE(2025,10,1)),$C$37 * $F$37 * MAX(0, MIN((YEAR($H$37)*12+MONTH($H$37)), (YEAR(DATE(2025,12,31))*12+MONTH(DATE(2025,12,31)))) - MAX((YEAR($G$37)*12+MONTH($G$37)), (YEAR(DATE(2025,10,1))*12+MONTH(DATE(2025,10,1)))) + 1),0)</f>
        <v/>
      </c>
      <c r="AE37" s="16">
        <f>IF(($G$37&lt;=DATE(2026,3,31))*($H$37&gt;=DATE(2026,1,1)),$C$37 * $F$37 * MAX(0, MIN((YEAR($H$37)*12+MONTH($H$37)), (YEAR(DATE(2026,3,31))*12+MONTH(DATE(2026,3,31)))) - MAX((YEAR($G$37)*12+MONTH($G$37)), (YEAR(DATE(2026,1,1))*12+MONTH(DATE(2026,1,1)))) + 1),0)</f>
        <v/>
      </c>
      <c r="AF37" s="16">
        <f>IF(($G$37&lt;=DATE(2026,6,30))*($H$37&gt;=DATE(2026,4,1)),$C$37 * $F$37 * MAX(0, MIN((YEAR($H$37)*12+MONTH($H$37)), (YEAR(DATE(2026,6,30))*12+MONTH(DATE(2026,6,30)))) - MAX((YEAR($G$37)*12+MONTH($G$37)), (YEAR(DATE(2026,4,1))*12+MONTH(DATE(2026,4,1)))) + 1),0)</f>
        <v/>
      </c>
      <c r="AG37" s="16">
        <f>IF(($G$37&lt;=DATE(2026,9,30))*($H$37&gt;=DATE(2026,7,1)),$C$37 * $F$37 * MAX(0, MIN((YEAR($H$37)*12+MONTH($H$37)), (YEAR(DATE(2026,9,30))*12+MONTH(DATE(2026,9,30)))) - MAX((YEAR($G$37)*12+MONTH($G$37)), (YEAR(DATE(2026,7,1))*12+MONTH(DATE(2026,7,1)))) + 1),0)</f>
        <v/>
      </c>
      <c r="AH37" s="16">
        <f>IF(($G$37&lt;=DATE(2026,12,31))*($H$37&gt;=DATE(2026,10,1)),$C$37 * $F$37 * MAX(0, MIN((YEAR($H$37)*12+MONTH($H$37)), (YEAR(DATE(2026,12,31))*12+MONTH(DATE(2026,12,31)))) - MAX((YEAR($G$37)*12+MONTH($G$37)), (YEAR(DATE(2026,10,1))*12+MONTH(DATE(2026,10,1)))) + 1),0)</f>
        <v/>
      </c>
      <c r="AI37" s="16">
        <f>IF(($G$37&lt;=DATE(2027,3,31))*($H$37&gt;=DATE(2027,1,1)),$C$37 * $F$37 * MAX(0, MIN((YEAR($H$37)*12+MONTH($H$37)), (YEAR(DATE(2027,3,31))*12+MONTH(DATE(2027,3,31)))) - MAX((YEAR($G$37)*12+MONTH($G$37)), (YEAR(DATE(2027,1,1))*12+MONTH(DATE(2027,1,1)))) + 1),0)</f>
        <v/>
      </c>
      <c r="AJ37" s="16">
        <f>IF(($G$37&lt;=DATE(2027,6,30))*($H$37&gt;=DATE(2027,4,1)),$C$37 * $F$37 * MAX(0, MIN((YEAR($H$37)*12+MONTH($H$37)), (YEAR(DATE(2027,6,30))*12+MONTH(DATE(2027,6,30)))) - MAX((YEAR($G$37)*12+MONTH($G$37)), (YEAR(DATE(2027,4,1))*12+MONTH(DATE(2027,4,1)))) + 1),0)</f>
        <v/>
      </c>
      <c r="AK37" s="16">
        <f>IF(($G$37&lt;=DATE(2027,9,30))*($H$37&gt;=DATE(2027,7,1)),$C$37 * $F$37 * MAX(0, MIN((YEAR($H$37)*12+MONTH($H$37)), (YEAR(DATE(2027,9,30))*12+MONTH(DATE(2027,9,30)))) - MAX((YEAR($G$37)*12+MONTH($G$37)), (YEAR(DATE(2027,7,1))*12+MONTH(DATE(2027,7,1)))) + 1),0)</f>
        <v/>
      </c>
      <c r="AL37" s="16">
        <f>IF(($G$37&lt;=DATE(2027,12,31))*($H$37&gt;=DATE(2027,10,1)),$C$37 * $F$37 * MAX(0, MIN((YEAR($H$37)*12+MONTH($H$37)), (YEAR(DATE(2027,12,31))*12+MONTH(DATE(2027,12,31)))) - MAX((YEAR($G$37)*12+MONTH($G$37)), (YEAR(DATE(2027,10,1))*12+MONTH(DATE(2027,10,1)))) + 1),0)</f>
        <v/>
      </c>
      <c r="AM37" s="16">
        <f>IF(($G$37&lt;=DATE(2028,3,31))*($H$37&gt;=DATE(2028,1,1)),$C$37 * $F$37 * MAX(0, MIN((YEAR($H$37)*12+MONTH($H$37)), (YEAR(DATE(2028,3,31))*12+MONTH(DATE(2028,3,31)))) - MAX((YEAR($G$37)*12+MONTH($G$37)), (YEAR(DATE(2028,1,1))*12+MONTH(DATE(2028,1,1)))) + 1),0)</f>
        <v/>
      </c>
      <c r="AN37" s="16">
        <f>IF(($G$37&lt;=DATE(2028,6,30))*($H$37&gt;=DATE(2028,4,1)),$C$37 * $F$37 * MAX(0, MIN((YEAR($H$37)*12+MONTH($H$37)), (YEAR(DATE(2028,6,30))*12+MONTH(DATE(2028,6,30)))) - MAX((YEAR($G$37)*12+MONTH($G$37)), (YEAR(DATE(2028,4,1))*12+MONTH(DATE(2028,4,1)))) + 1),0)</f>
        <v/>
      </c>
      <c r="AO37" s="16">
        <f>IF(($G$37&lt;=DATE(2028,9,30))*($H$37&gt;=DATE(2028,7,1)),$C$37 * $F$37 * MAX(0, MIN((YEAR($H$37)*12+MONTH($H$37)), (YEAR(DATE(2028,9,30))*12+MONTH(DATE(2028,9,30)))) - MAX((YEAR($G$37)*12+MONTH($G$37)), (YEAR(DATE(2028,7,1))*12+MONTH(DATE(2028,7,1)))) + 1),0)</f>
        <v/>
      </c>
      <c r="AP37" s="16">
        <f>IF(($G$37&lt;=DATE(2028,12,31))*($H$37&gt;=DATE(2028,10,1)),$C$37 * $F$37 * MAX(0, MIN((YEAR($H$37)*12+MONTH($H$37)), (YEAR(DATE(2028,12,31))*12+MONTH(DATE(2028,12,31)))) - MAX((YEAR($G$37)*12+MONTH($G$37)), (YEAR(DATE(2028,10,1))*12+MONTH(DATE(2028,10,1)))) + 1),0)</f>
        <v/>
      </c>
      <c r="AQ37" s="16">
        <f>IF(AND($D$37 &gt;= DATE(2021,1,1), $D$37 &lt;= DATE(2021,3,31)), $C$37 * $E$37 * $F$37, 0)</f>
        <v/>
      </c>
      <c r="AR37" s="16">
        <f>IF(AND($D$37 &gt;= DATE(2021,4,1), $D$37 &lt;= DATE(2021,6,30)), $C$37 * $E$37 * $F$37, 0)</f>
        <v/>
      </c>
      <c r="AS37" s="16">
        <f>IF(AND($D$37 &gt;= DATE(2021,7,1), $D$37 &lt;= DATE(2021,9,30)), $C$37 * $E$37 * $F$37, 0)</f>
        <v/>
      </c>
      <c r="AT37" s="16">
        <f>IF(AND($D$37 &gt;= DATE(2021,10,1), $D$37 &lt;= DATE(2021,12,31)), $C$37 * $E$37 * $F$37, 0)</f>
        <v/>
      </c>
      <c r="AU37" s="16">
        <f>IF(AND($D$37 &gt;= DATE(2022,1,1), $D$37 &lt;= DATE(2022,3,31)), $C$37 * $E$37 * $F$37, 0)</f>
        <v/>
      </c>
      <c r="AV37" s="16">
        <f>IF(AND($D$37 &gt;= DATE(2022,4,1), $D$37 &lt;= DATE(2022,6,30)), $C$37 * $E$37 * $F$37, 0)</f>
        <v/>
      </c>
      <c r="AW37" s="16">
        <f>IF(AND($D$37 &gt;= DATE(2022,7,1), $D$37 &lt;= DATE(2022,9,30)), $C$37 * $E$37 * $F$37, 0)</f>
        <v/>
      </c>
      <c r="AX37" s="16">
        <f>IF(AND($D$37 &gt;= DATE(2022,10,1), $D$37 &lt;= DATE(2022,12,31)), $C$37 * $E$37 * $F$37, 0)</f>
        <v/>
      </c>
      <c r="AY37" s="16">
        <f>IF(AND($D$37 &gt;= DATE(2023,1,1), $D$37 &lt;= DATE(2023,3,31)), $C$37 * $E$37 * $F$37, 0)</f>
        <v/>
      </c>
      <c r="AZ37" s="16">
        <f>IF(AND($D$37 &gt;= DATE(2023,4,1), $D$37 &lt;= DATE(2023,6,30)), $C$37 * $E$37 * $F$37, 0)</f>
        <v/>
      </c>
      <c r="BA37" s="16">
        <f>IF(AND($D$37 &gt;= DATE(2023,7,1), $D$37 &lt;= DATE(2023,9,30)), $C$37 * $E$37 * $F$37, 0)</f>
        <v/>
      </c>
      <c r="BB37" s="16">
        <f>IF(AND($D$37 &gt;= DATE(2023,10,1), $D$37 &lt;= DATE(2023,12,31)), $C$37 * $E$37 * $F$37, 0)</f>
        <v/>
      </c>
      <c r="BC37" s="16">
        <f>IF(AND($D$37 &gt;= DATE(2024,1,1), $D$37 &lt;= DATE(2024,3,31)), $C$37 * $E$37 * $F$37, 0)</f>
        <v/>
      </c>
      <c r="BD37" s="16">
        <f>IF(AND($D$37 &gt;= DATE(2024,4,1), $D$37 &lt;= DATE(2024,6,30)), $C$37 * $E$37 * $F$37, 0)</f>
        <v/>
      </c>
      <c r="BE37" s="16">
        <f>IF(AND($D$37 &gt;= DATE(2024,7,1), $D$37 &lt;= DATE(2024,9,30)), $C$37 * $E$37 * $F$37, 0)</f>
        <v/>
      </c>
      <c r="BF37" s="16">
        <f>IF(AND($D$37 &gt;= DATE(2024,10,1), $D$37 &lt;= DATE(2024,12,31)), $C$37 * $E$37 * $F$37, 0)</f>
        <v/>
      </c>
      <c r="BG37" s="16">
        <f>IF(AND($D$37 &gt;= DATE(2025,1,1), $D$37 &lt;= DATE(2025,3,31)), $C$37 * $E$37 * $F$37, 0)</f>
        <v/>
      </c>
      <c r="BH37" s="16">
        <f>IF(AND($D$37 &gt;= DATE(2025,4,1), $D$37 &lt;= DATE(2025,6,30)), $C$37 * $E$37 * $F$37, 0)</f>
        <v/>
      </c>
      <c r="BI37" s="16">
        <f>IF(AND($D$37 &gt;= DATE(2025,7,1), $D$37 &lt;= DATE(2025,9,30)), $C$37 * $E$37 * $F$37, 0)</f>
        <v/>
      </c>
      <c r="BJ37" s="16">
        <f>IF(AND($D$37 &gt;= DATE(2025,10,1), $D$37 &lt;= DATE(2025,12,31)), $C$37 * $E$37 * $F$37, 0)</f>
        <v/>
      </c>
      <c r="BK37" s="16">
        <f>IF(AND($D$37 &gt;= DATE(2026,1,1), $D$37 &lt;= DATE(2026,3,31)), $C$37 * $E$37 * $F$37, 0)</f>
        <v/>
      </c>
      <c r="BL37" s="16">
        <f>IF(AND($D$37 &gt;= DATE(2026,4,1), $D$37 &lt;= DATE(2026,6,30)), $C$37 * $E$37 * $F$37, 0)</f>
        <v/>
      </c>
      <c r="BM37" s="16">
        <f>IF(AND($D$37 &gt;= DATE(2026,7,1), $D$37 &lt;= DATE(2026,9,30)), $C$37 * $E$37 * $F$37, 0)</f>
        <v/>
      </c>
      <c r="BN37" s="16">
        <f>IF(AND($D$37 &gt;= DATE(2026,10,1), $D$37 &lt;= DATE(2026,12,31)), $C$37 * $E$37 * $F$37, 0)</f>
        <v/>
      </c>
      <c r="BO37" s="16">
        <f>IF(AND($D$37 &gt;= DATE(2027,1,1), $D$37 &lt;= DATE(2027,3,31)), $C$37 * $E$37 * $F$37, 0)</f>
        <v/>
      </c>
      <c r="BP37" s="16">
        <f>IF(AND($D$37 &gt;= DATE(2027,4,1), $D$37 &lt;= DATE(2027,6,30)), $C$37 * $E$37 * $F$37, 0)</f>
        <v/>
      </c>
      <c r="BQ37" s="16">
        <f>IF(AND($D$37 &gt;= DATE(2027,7,1), $D$37 &lt;= DATE(2027,9,30)), $C$37 * $E$37 * $F$37, 0)</f>
        <v/>
      </c>
      <c r="BR37" s="16">
        <f>IF(AND($D$37 &gt;= DATE(2027,10,1), $D$37 &lt;= DATE(2027,12,31)), $C$37 * $E$37 * $F$37, 0)</f>
        <v/>
      </c>
      <c r="BS37" s="16">
        <f>IF(AND($D$37 &gt;= DATE(2028,1,1), $D$37 &lt;= DATE(2028,3,31)), $C$37 * $E$37 * $F$37, 0)</f>
        <v/>
      </c>
      <c r="BT37" s="16">
        <f>IF(AND($D$37 &gt;= DATE(2028,4,1), $D$37 &lt;= DATE(2028,6,30)), $C$37 * $E$37 * $F$37, 0)</f>
        <v/>
      </c>
      <c r="BU37" s="16">
        <f>IF(AND($D$37 &gt;= DATE(2028,7,1), $D$37 &lt;= DATE(2028,9,30)), $C$37 * $E$37 * $F$37, 0)</f>
        <v/>
      </c>
      <c r="BV37" s="16">
        <f>IF(AND($D$37 &gt;= DATE(2028,10,1), $D$37 &lt;= DATE(2028,12,31)), $C$37 * $E$37 * $F$37, 0)</f>
        <v/>
      </c>
    </row>
    <row r="38">
      <c r="B38" t="inlineStr">
        <is>
          <t>Northfield &gt; Lumen Aerospace &gt; Flight Batch Follow-On</t>
        </is>
      </c>
      <c r="C38" s="16" t="n">
        <v>360000</v>
      </c>
      <c r="D38" s="18" t="n">
        <v>46447</v>
      </c>
      <c r="E38" s="16" t="n">
        <v>6</v>
      </c>
      <c r="F38" s="19" t="n">
        <v>0.5</v>
      </c>
      <c r="G38" s="18" t="n">
        <v>46478</v>
      </c>
      <c r="H38" s="18" t="n">
        <v>46631</v>
      </c>
      <c r="I38" s="16">
        <f>$C$38 * $E$38</f>
        <v/>
      </c>
      <c r="J38" s="20">
        <f>$C$38 * $E$38 * $F$38</f>
        <v/>
      </c>
      <c r="K38" s="16">
        <f>IF(($G$38&lt;=DATE(2021,3,31))*($H$38&gt;=DATE(2021,1,1)),$C$38 * $F$38 * MAX(0, MIN((YEAR($H$38)*12+MONTH($H$38)), (YEAR(DATE(2021,3,31))*12+MONTH(DATE(2021,3,31)))) - MAX((YEAR($G$38)*12+MONTH($G$38)), (YEAR(DATE(2021,1,1))*12+MONTH(DATE(2021,1,1)))) + 1),0)</f>
        <v/>
      </c>
      <c r="L38" s="16">
        <f>IF(($G$38&lt;=DATE(2021,6,30))*($H$38&gt;=DATE(2021,4,1)),$C$38 * $F$38 * MAX(0, MIN((YEAR($H$38)*12+MONTH($H$38)), (YEAR(DATE(2021,6,30))*12+MONTH(DATE(2021,6,30)))) - MAX((YEAR($G$38)*12+MONTH($G$38)), (YEAR(DATE(2021,4,1))*12+MONTH(DATE(2021,4,1)))) + 1),0)</f>
        <v/>
      </c>
      <c r="M38" s="16">
        <f>IF(($G$38&lt;=DATE(2021,9,30))*($H$38&gt;=DATE(2021,7,1)),$C$38 * $F$38 * MAX(0, MIN((YEAR($H$38)*12+MONTH($H$38)), (YEAR(DATE(2021,9,30))*12+MONTH(DATE(2021,9,30)))) - MAX((YEAR($G$38)*12+MONTH($G$38)), (YEAR(DATE(2021,7,1))*12+MONTH(DATE(2021,7,1)))) + 1),0)</f>
        <v/>
      </c>
      <c r="N38" s="16">
        <f>IF(($G$38&lt;=DATE(2021,12,31))*($H$38&gt;=DATE(2021,10,1)),$C$38 * $F$38 * MAX(0, MIN((YEAR($H$38)*12+MONTH($H$38)), (YEAR(DATE(2021,12,31))*12+MONTH(DATE(2021,12,31)))) - MAX((YEAR($G$38)*12+MONTH($G$38)), (YEAR(DATE(2021,10,1))*12+MONTH(DATE(2021,10,1)))) + 1),0)</f>
        <v/>
      </c>
      <c r="O38" s="16">
        <f>IF(($G$38&lt;=DATE(2022,3,31))*($H$38&gt;=DATE(2022,1,1)),$C$38 * $F$38 * MAX(0, MIN((YEAR($H$38)*12+MONTH($H$38)), (YEAR(DATE(2022,3,31))*12+MONTH(DATE(2022,3,31)))) - MAX((YEAR($G$38)*12+MONTH($G$38)), (YEAR(DATE(2022,1,1))*12+MONTH(DATE(2022,1,1)))) + 1),0)</f>
        <v/>
      </c>
      <c r="P38" s="16">
        <f>IF(($G$38&lt;=DATE(2022,6,30))*($H$38&gt;=DATE(2022,4,1)),$C$38 * $F$38 * MAX(0, MIN((YEAR($H$38)*12+MONTH($H$38)), (YEAR(DATE(2022,6,30))*12+MONTH(DATE(2022,6,30)))) - MAX((YEAR($G$38)*12+MONTH($G$38)), (YEAR(DATE(2022,4,1))*12+MONTH(DATE(2022,4,1)))) + 1),0)</f>
        <v/>
      </c>
      <c r="Q38" s="16">
        <f>IF(($G$38&lt;=DATE(2022,9,30))*($H$38&gt;=DATE(2022,7,1)),$C$38 * $F$38 * MAX(0, MIN((YEAR($H$38)*12+MONTH($H$38)), (YEAR(DATE(2022,9,30))*12+MONTH(DATE(2022,9,30)))) - MAX((YEAR($G$38)*12+MONTH($G$38)), (YEAR(DATE(2022,7,1))*12+MONTH(DATE(2022,7,1)))) + 1),0)</f>
        <v/>
      </c>
      <c r="R38" s="16">
        <f>IF(($G$38&lt;=DATE(2022,12,31))*($H$38&gt;=DATE(2022,10,1)),$C$38 * $F$38 * MAX(0, MIN((YEAR($H$38)*12+MONTH($H$38)), (YEAR(DATE(2022,12,31))*12+MONTH(DATE(2022,12,31)))) - MAX((YEAR($G$38)*12+MONTH($G$38)), (YEAR(DATE(2022,10,1))*12+MONTH(DATE(2022,10,1)))) + 1),0)</f>
        <v/>
      </c>
      <c r="S38" s="16">
        <f>IF(($G$38&lt;=DATE(2023,3,31))*($H$38&gt;=DATE(2023,1,1)),$C$38 * $F$38 * MAX(0, MIN((YEAR($H$38)*12+MONTH($H$38)), (YEAR(DATE(2023,3,31))*12+MONTH(DATE(2023,3,31)))) - MAX((YEAR($G$38)*12+MONTH($G$38)), (YEAR(DATE(2023,1,1))*12+MONTH(DATE(2023,1,1)))) + 1),0)</f>
        <v/>
      </c>
      <c r="T38" s="16">
        <f>IF(($G$38&lt;=DATE(2023,6,30))*($H$38&gt;=DATE(2023,4,1)),$C$38 * $F$38 * MAX(0, MIN((YEAR($H$38)*12+MONTH($H$38)), (YEAR(DATE(2023,6,30))*12+MONTH(DATE(2023,6,30)))) - MAX((YEAR($G$38)*12+MONTH($G$38)), (YEAR(DATE(2023,4,1))*12+MONTH(DATE(2023,4,1)))) + 1),0)</f>
        <v/>
      </c>
      <c r="U38" s="16">
        <f>IF(($G$38&lt;=DATE(2023,9,30))*($H$38&gt;=DATE(2023,7,1)),$C$38 * $F$38 * MAX(0, MIN((YEAR($H$38)*12+MONTH($H$38)), (YEAR(DATE(2023,9,30))*12+MONTH(DATE(2023,9,30)))) - MAX((YEAR($G$38)*12+MONTH($G$38)), (YEAR(DATE(2023,7,1))*12+MONTH(DATE(2023,7,1)))) + 1),0)</f>
        <v/>
      </c>
      <c r="V38" s="16">
        <f>IF(($G$38&lt;=DATE(2023,12,31))*($H$38&gt;=DATE(2023,10,1)),$C$38 * $F$38 * MAX(0, MIN((YEAR($H$38)*12+MONTH($H$38)), (YEAR(DATE(2023,12,31))*12+MONTH(DATE(2023,12,31)))) - MAX((YEAR($G$38)*12+MONTH($G$38)), (YEAR(DATE(2023,10,1))*12+MONTH(DATE(2023,10,1)))) + 1),0)</f>
        <v/>
      </c>
      <c r="W38" s="16">
        <f>IF(($G$38&lt;=DATE(2024,3,31))*($H$38&gt;=DATE(2024,1,1)),$C$38 * $F$38 * MAX(0, MIN((YEAR($H$38)*12+MONTH($H$38)), (YEAR(DATE(2024,3,31))*12+MONTH(DATE(2024,3,31)))) - MAX((YEAR($G$38)*12+MONTH($G$38)), (YEAR(DATE(2024,1,1))*12+MONTH(DATE(2024,1,1)))) + 1),0)</f>
        <v/>
      </c>
      <c r="X38" s="16">
        <f>IF(($G$38&lt;=DATE(2024,6,30))*($H$38&gt;=DATE(2024,4,1)),$C$38 * $F$38 * MAX(0, MIN((YEAR($H$38)*12+MONTH($H$38)), (YEAR(DATE(2024,6,30))*12+MONTH(DATE(2024,6,30)))) - MAX((YEAR($G$38)*12+MONTH($G$38)), (YEAR(DATE(2024,4,1))*12+MONTH(DATE(2024,4,1)))) + 1),0)</f>
        <v/>
      </c>
      <c r="Y38" s="16">
        <f>IF(($G$38&lt;=DATE(2024,9,30))*($H$38&gt;=DATE(2024,7,1)),$C$38 * $F$38 * MAX(0, MIN((YEAR($H$38)*12+MONTH($H$38)), (YEAR(DATE(2024,9,30))*12+MONTH(DATE(2024,9,30)))) - MAX((YEAR($G$38)*12+MONTH($G$38)), (YEAR(DATE(2024,7,1))*12+MONTH(DATE(2024,7,1)))) + 1),0)</f>
        <v/>
      </c>
      <c r="Z38" s="16">
        <f>IF(($G$38&lt;=DATE(2024,12,31))*($H$38&gt;=DATE(2024,10,1)),$C$38 * $F$38 * MAX(0, MIN((YEAR($H$38)*12+MONTH($H$38)), (YEAR(DATE(2024,12,31))*12+MONTH(DATE(2024,12,31)))) - MAX((YEAR($G$38)*12+MONTH($G$38)), (YEAR(DATE(2024,10,1))*12+MONTH(DATE(2024,10,1)))) + 1),0)</f>
        <v/>
      </c>
      <c r="AA38" s="16">
        <f>IF(($G$38&lt;=DATE(2025,3,31))*($H$38&gt;=DATE(2025,1,1)),$C$38 * $F$38 * MAX(0, MIN((YEAR($H$38)*12+MONTH($H$38)), (YEAR(DATE(2025,3,31))*12+MONTH(DATE(2025,3,31)))) - MAX((YEAR($G$38)*12+MONTH($G$38)), (YEAR(DATE(2025,1,1))*12+MONTH(DATE(2025,1,1)))) + 1),0)</f>
        <v/>
      </c>
      <c r="AB38" s="16">
        <f>IF(($G$38&lt;=DATE(2025,6,30))*($H$38&gt;=DATE(2025,4,1)),$C$38 * $F$38 * MAX(0, MIN((YEAR($H$38)*12+MONTH($H$38)), (YEAR(DATE(2025,6,30))*12+MONTH(DATE(2025,6,30)))) - MAX((YEAR($G$38)*12+MONTH($G$38)), (YEAR(DATE(2025,4,1))*12+MONTH(DATE(2025,4,1)))) + 1),0)</f>
        <v/>
      </c>
      <c r="AC38" s="16">
        <f>IF(($G$38&lt;=DATE(2025,9,30))*($H$38&gt;=DATE(2025,7,1)),$C$38 * $F$38 * MAX(0, MIN((YEAR($H$38)*12+MONTH($H$38)), (YEAR(DATE(2025,9,30))*12+MONTH(DATE(2025,9,30)))) - MAX((YEAR($G$38)*12+MONTH($G$38)), (YEAR(DATE(2025,7,1))*12+MONTH(DATE(2025,7,1)))) + 1),0)</f>
        <v/>
      </c>
      <c r="AD38" s="16">
        <f>IF(($G$38&lt;=DATE(2025,12,31))*($H$38&gt;=DATE(2025,10,1)),$C$38 * $F$38 * MAX(0, MIN((YEAR($H$38)*12+MONTH($H$38)), (YEAR(DATE(2025,12,31))*12+MONTH(DATE(2025,12,31)))) - MAX((YEAR($G$38)*12+MONTH($G$38)), (YEAR(DATE(2025,10,1))*12+MONTH(DATE(2025,10,1)))) + 1),0)</f>
        <v/>
      </c>
      <c r="AE38" s="16">
        <f>IF(($G$38&lt;=DATE(2026,3,31))*($H$38&gt;=DATE(2026,1,1)),$C$38 * $F$38 * MAX(0, MIN((YEAR($H$38)*12+MONTH($H$38)), (YEAR(DATE(2026,3,31))*12+MONTH(DATE(2026,3,31)))) - MAX((YEAR($G$38)*12+MONTH($G$38)), (YEAR(DATE(2026,1,1))*12+MONTH(DATE(2026,1,1)))) + 1),0)</f>
        <v/>
      </c>
      <c r="AF38" s="16">
        <f>IF(($G$38&lt;=DATE(2026,6,30))*($H$38&gt;=DATE(2026,4,1)),$C$38 * $F$38 * MAX(0, MIN((YEAR($H$38)*12+MONTH($H$38)), (YEAR(DATE(2026,6,30))*12+MONTH(DATE(2026,6,30)))) - MAX((YEAR($G$38)*12+MONTH($G$38)), (YEAR(DATE(2026,4,1))*12+MONTH(DATE(2026,4,1)))) + 1),0)</f>
        <v/>
      </c>
      <c r="AG38" s="16">
        <f>IF(($G$38&lt;=DATE(2026,9,30))*($H$38&gt;=DATE(2026,7,1)),$C$38 * $F$38 * MAX(0, MIN((YEAR($H$38)*12+MONTH($H$38)), (YEAR(DATE(2026,9,30))*12+MONTH(DATE(2026,9,30)))) - MAX((YEAR($G$38)*12+MONTH($G$38)), (YEAR(DATE(2026,7,1))*12+MONTH(DATE(2026,7,1)))) + 1),0)</f>
        <v/>
      </c>
      <c r="AH38" s="16">
        <f>IF(($G$38&lt;=DATE(2026,12,31))*($H$38&gt;=DATE(2026,10,1)),$C$38 * $F$38 * MAX(0, MIN((YEAR($H$38)*12+MONTH($H$38)), (YEAR(DATE(2026,12,31))*12+MONTH(DATE(2026,12,31)))) - MAX((YEAR($G$38)*12+MONTH($G$38)), (YEAR(DATE(2026,10,1))*12+MONTH(DATE(2026,10,1)))) + 1),0)</f>
        <v/>
      </c>
      <c r="AI38" s="16">
        <f>IF(($G$38&lt;=DATE(2027,3,31))*($H$38&gt;=DATE(2027,1,1)),$C$38 * $F$38 * MAX(0, MIN((YEAR($H$38)*12+MONTH($H$38)), (YEAR(DATE(2027,3,31))*12+MONTH(DATE(2027,3,31)))) - MAX((YEAR($G$38)*12+MONTH($G$38)), (YEAR(DATE(2027,1,1))*12+MONTH(DATE(2027,1,1)))) + 1),0)</f>
        <v/>
      </c>
      <c r="AJ38" s="16">
        <f>IF(($G$38&lt;=DATE(2027,6,30))*($H$38&gt;=DATE(2027,4,1)),$C$38 * $F$38 * MAX(0, MIN((YEAR($H$38)*12+MONTH($H$38)), (YEAR(DATE(2027,6,30))*12+MONTH(DATE(2027,6,30)))) - MAX((YEAR($G$38)*12+MONTH($G$38)), (YEAR(DATE(2027,4,1))*12+MONTH(DATE(2027,4,1)))) + 1),0)</f>
        <v/>
      </c>
      <c r="AK38" s="16">
        <f>IF(($G$38&lt;=DATE(2027,9,30))*($H$38&gt;=DATE(2027,7,1)),$C$38 * $F$38 * MAX(0, MIN((YEAR($H$38)*12+MONTH($H$38)), (YEAR(DATE(2027,9,30))*12+MONTH(DATE(2027,9,30)))) - MAX((YEAR($G$38)*12+MONTH($G$38)), (YEAR(DATE(2027,7,1))*12+MONTH(DATE(2027,7,1)))) + 1),0)</f>
        <v/>
      </c>
      <c r="AL38" s="16">
        <f>IF(($G$38&lt;=DATE(2027,12,31))*($H$38&gt;=DATE(2027,10,1)),$C$38 * $F$38 * MAX(0, MIN((YEAR($H$38)*12+MONTH($H$38)), (YEAR(DATE(2027,12,31))*12+MONTH(DATE(2027,12,31)))) - MAX((YEAR($G$38)*12+MONTH($G$38)), (YEAR(DATE(2027,10,1))*12+MONTH(DATE(2027,10,1)))) + 1),0)</f>
        <v/>
      </c>
      <c r="AM38" s="16">
        <f>IF(($G$38&lt;=DATE(2028,3,31))*($H$38&gt;=DATE(2028,1,1)),$C$38 * $F$38 * MAX(0, MIN((YEAR($H$38)*12+MONTH($H$38)), (YEAR(DATE(2028,3,31))*12+MONTH(DATE(2028,3,31)))) - MAX((YEAR($G$38)*12+MONTH($G$38)), (YEAR(DATE(2028,1,1))*12+MONTH(DATE(2028,1,1)))) + 1),0)</f>
        <v/>
      </c>
      <c r="AN38" s="16">
        <f>IF(($G$38&lt;=DATE(2028,6,30))*($H$38&gt;=DATE(2028,4,1)),$C$38 * $F$38 * MAX(0, MIN((YEAR($H$38)*12+MONTH($H$38)), (YEAR(DATE(2028,6,30))*12+MONTH(DATE(2028,6,30)))) - MAX((YEAR($G$38)*12+MONTH($G$38)), (YEAR(DATE(2028,4,1))*12+MONTH(DATE(2028,4,1)))) + 1),0)</f>
        <v/>
      </c>
      <c r="AO38" s="16">
        <f>IF(($G$38&lt;=DATE(2028,9,30))*($H$38&gt;=DATE(2028,7,1)),$C$38 * $F$38 * MAX(0, MIN((YEAR($H$38)*12+MONTH($H$38)), (YEAR(DATE(2028,9,30))*12+MONTH(DATE(2028,9,30)))) - MAX((YEAR($G$38)*12+MONTH($G$38)), (YEAR(DATE(2028,7,1))*12+MONTH(DATE(2028,7,1)))) + 1),0)</f>
        <v/>
      </c>
      <c r="AP38" s="16">
        <f>IF(($G$38&lt;=DATE(2028,12,31))*($H$38&gt;=DATE(2028,10,1)),$C$38 * $F$38 * MAX(0, MIN((YEAR($H$38)*12+MONTH($H$38)), (YEAR(DATE(2028,12,31))*12+MONTH(DATE(2028,12,31)))) - MAX((YEAR($G$38)*12+MONTH($G$38)), (YEAR(DATE(2028,10,1))*12+MONTH(DATE(2028,10,1)))) + 1),0)</f>
        <v/>
      </c>
      <c r="AQ38" s="16">
        <f>IF(AND($D$38 &gt;= DATE(2021,1,1), $D$38 &lt;= DATE(2021,3,31)), $C$38 * $E$38 * $F$38, 0)</f>
        <v/>
      </c>
      <c r="AR38" s="16">
        <f>IF(AND($D$38 &gt;= DATE(2021,4,1), $D$38 &lt;= DATE(2021,6,30)), $C$38 * $E$38 * $F$38, 0)</f>
        <v/>
      </c>
      <c r="AS38" s="16">
        <f>IF(AND($D$38 &gt;= DATE(2021,7,1), $D$38 &lt;= DATE(2021,9,30)), $C$38 * $E$38 * $F$38, 0)</f>
        <v/>
      </c>
      <c r="AT38" s="16">
        <f>IF(AND($D$38 &gt;= DATE(2021,10,1), $D$38 &lt;= DATE(2021,12,31)), $C$38 * $E$38 * $F$38, 0)</f>
        <v/>
      </c>
      <c r="AU38" s="16">
        <f>IF(AND($D$38 &gt;= DATE(2022,1,1), $D$38 &lt;= DATE(2022,3,31)), $C$38 * $E$38 * $F$38, 0)</f>
        <v/>
      </c>
      <c r="AV38" s="16">
        <f>IF(AND($D$38 &gt;= DATE(2022,4,1), $D$38 &lt;= DATE(2022,6,30)), $C$38 * $E$38 * $F$38, 0)</f>
        <v/>
      </c>
      <c r="AW38" s="16">
        <f>IF(AND($D$38 &gt;= DATE(2022,7,1), $D$38 &lt;= DATE(2022,9,30)), $C$38 * $E$38 * $F$38, 0)</f>
        <v/>
      </c>
      <c r="AX38" s="16">
        <f>IF(AND($D$38 &gt;= DATE(2022,10,1), $D$38 &lt;= DATE(2022,12,31)), $C$38 * $E$38 * $F$38, 0)</f>
        <v/>
      </c>
      <c r="AY38" s="16">
        <f>IF(AND($D$38 &gt;= DATE(2023,1,1), $D$38 &lt;= DATE(2023,3,31)), $C$38 * $E$38 * $F$38, 0)</f>
        <v/>
      </c>
      <c r="AZ38" s="16">
        <f>IF(AND($D$38 &gt;= DATE(2023,4,1), $D$38 &lt;= DATE(2023,6,30)), $C$38 * $E$38 * $F$38, 0)</f>
        <v/>
      </c>
      <c r="BA38" s="16">
        <f>IF(AND($D$38 &gt;= DATE(2023,7,1), $D$38 &lt;= DATE(2023,9,30)), $C$38 * $E$38 * $F$38, 0)</f>
        <v/>
      </c>
      <c r="BB38" s="16">
        <f>IF(AND($D$38 &gt;= DATE(2023,10,1), $D$38 &lt;= DATE(2023,12,31)), $C$38 * $E$38 * $F$38, 0)</f>
        <v/>
      </c>
      <c r="BC38" s="16">
        <f>IF(AND($D$38 &gt;= DATE(2024,1,1), $D$38 &lt;= DATE(2024,3,31)), $C$38 * $E$38 * $F$38, 0)</f>
        <v/>
      </c>
      <c r="BD38" s="16">
        <f>IF(AND($D$38 &gt;= DATE(2024,4,1), $D$38 &lt;= DATE(2024,6,30)), $C$38 * $E$38 * $F$38, 0)</f>
        <v/>
      </c>
      <c r="BE38" s="16">
        <f>IF(AND($D$38 &gt;= DATE(2024,7,1), $D$38 &lt;= DATE(2024,9,30)), $C$38 * $E$38 * $F$38, 0)</f>
        <v/>
      </c>
      <c r="BF38" s="16">
        <f>IF(AND($D$38 &gt;= DATE(2024,10,1), $D$38 &lt;= DATE(2024,12,31)), $C$38 * $E$38 * $F$38, 0)</f>
        <v/>
      </c>
      <c r="BG38" s="16">
        <f>IF(AND($D$38 &gt;= DATE(2025,1,1), $D$38 &lt;= DATE(2025,3,31)), $C$38 * $E$38 * $F$38, 0)</f>
        <v/>
      </c>
      <c r="BH38" s="16">
        <f>IF(AND($D$38 &gt;= DATE(2025,4,1), $D$38 &lt;= DATE(2025,6,30)), $C$38 * $E$38 * $F$38, 0)</f>
        <v/>
      </c>
      <c r="BI38" s="16">
        <f>IF(AND($D$38 &gt;= DATE(2025,7,1), $D$38 &lt;= DATE(2025,9,30)), $C$38 * $E$38 * $F$38, 0)</f>
        <v/>
      </c>
      <c r="BJ38" s="16">
        <f>IF(AND($D$38 &gt;= DATE(2025,10,1), $D$38 &lt;= DATE(2025,12,31)), $C$38 * $E$38 * $F$38, 0)</f>
        <v/>
      </c>
      <c r="BK38" s="16">
        <f>IF(AND($D$38 &gt;= DATE(2026,1,1), $D$38 &lt;= DATE(2026,3,31)), $C$38 * $E$38 * $F$38, 0)</f>
        <v/>
      </c>
      <c r="BL38" s="16">
        <f>IF(AND($D$38 &gt;= DATE(2026,4,1), $D$38 &lt;= DATE(2026,6,30)), $C$38 * $E$38 * $F$38, 0)</f>
        <v/>
      </c>
      <c r="BM38" s="16">
        <f>IF(AND($D$38 &gt;= DATE(2026,7,1), $D$38 &lt;= DATE(2026,9,30)), $C$38 * $E$38 * $F$38, 0)</f>
        <v/>
      </c>
      <c r="BN38" s="16">
        <f>IF(AND($D$38 &gt;= DATE(2026,10,1), $D$38 &lt;= DATE(2026,12,31)), $C$38 * $E$38 * $F$38, 0)</f>
        <v/>
      </c>
      <c r="BO38" s="16">
        <f>IF(AND($D$38 &gt;= DATE(2027,1,1), $D$38 &lt;= DATE(2027,3,31)), $C$38 * $E$38 * $F$38, 0)</f>
        <v/>
      </c>
      <c r="BP38" s="16">
        <f>IF(AND($D$38 &gt;= DATE(2027,4,1), $D$38 &lt;= DATE(2027,6,30)), $C$38 * $E$38 * $F$38, 0)</f>
        <v/>
      </c>
      <c r="BQ38" s="16">
        <f>IF(AND($D$38 &gt;= DATE(2027,7,1), $D$38 &lt;= DATE(2027,9,30)), $C$38 * $E$38 * $F$38, 0)</f>
        <v/>
      </c>
      <c r="BR38" s="16">
        <f>IF(AND($D$38 &gt;= DATE(2027,10,1), $D$38 &lt;= DATE(2027,12,31)), $C$38 * $E$38 * $F$38, 0)</f>
        <v/>
      </c>
      <c r="BS38" s="16">
        <f>IF(AND($D$38 &gt;= DATE(2028,1,1), $D$38 &lt;= DATE(2028,3,31)), $C$38 * $E$38 * $F$38, 0)</f>
        <v/>
      </c>
      <c r="BT38" s="16">
        <f>IF(AND($D$38 &gt;= DATE(2028,4,1), $D$38 &lt;= DATE(2028,6,30)), $C$38 * $E$38 * $F$38, 0)</f>
        <v/>
      </c>
      <c r="BU38" s="16">
        <f>IF(AND($D$38 &gt;= DATE(2028,7,1), $D$38 &lt;= DATE(2028,9,30)), $C$38 * $E$38 * $F$38, 0)</f>
        <v/>
      </c>
      <c r="BV38" s="16">
        <f>IF(AND($D$38 &gt;= DATE(2028,10,1), $D$38 &lt;= DATE(2028,12,31)), $C$38 * $E$38 * $F$38, 0)</f>
        <v/>
      </c>
    </row>
    <row r="39">
      <c r="B39" t="inlineStr">
        <is>
          <t>Westgate &gt; Vantage Power &gt; Production Ramp Support</t>
        </is>
      </c>
      <c r="C39" s="16" t="n">
        <v>70000</v>
      </c>
      <c r="D39" s="18" t="n">
        <v>46478</v>
      </c>
      <c r="E39" s="16" t="n">
        <v>9</v>
      </c>
      <c r="F39" s="19" t="n">
        <v>0.4</v>
      </c>
      <c r="G39" s="18" t="n">
        <v>46508</v>
      </c>
      <c r="H39" s="18" t="n">
        <v>46753</v>
      </c>
      <c r="I39" s="16">
        <f>$C$39 * $E$39</f>
        <v/>
      </c>
      <c r="J39" s="20">
        <f>$C$39 * $E$39 * $F$39</f>
        <v/>
      </c>
      <c r="K39" s="16">
        <f>IF(($G$39&lt;=DATE(2021,3,31))*($H$39&gt;=DATE(2021,1,1)),$C$39 * $F$39 * MAX(0, MIN((YEAR($H$39)*12+MONTH($H$39)), (YEAR(DATE(2021,3,31))*12+MONTH(DATE(2021,3,31)))) - MAX((YEAR($G$39)*12+MONTH($G$39)), (YEAR(DATE(2021,1,1))*12+MONTH(DATE(2021,1,1)))) + 1),0)</f>
        <v/>
      </c>
      <c r="L39" s="16">
        <f>IF(($G$39&lt;=DATE(2021,6,30))*($H$39&gt;=DATE(2021,4,1)),$C$39 * $F$39 * MAX(0, MIN((YEAR($H$39)*12+MONTH($H$39)), (YEAR(DATE(2021,6,30))*12+MONTH(DATE(2021,6,30)))) - MAX((YEAR($G$39)*12+MONTH($G$39)), (YEAR(DATE(2021,4,1))*12+MONTH(DATE(2021,4,1)))) + 1),0)</f>
        <v/>
      </c>
      <c r="M39" s="16">
        <f>IF(($G$39&lt;=DATE(2021,9,30))*($H$39&gt;=DATE(2021,7,1)),$C$39 * $F$39 * MAX(0, MIN((YEAR($H$39)*12+MONTH($H$39)), (YEAR(DATE(2021,9,30))*12+MONTH(DATE(2021,9,30)))) - MAX((YEAR($G$39)*12+MONTH($G$39)), (YEAR(DATE(2021,7,1))*12+MONTH(DATE(2021,7,1)))) + 1),0)</f>
        <v/>
      </c>
      <c r="N39" s="16">
        <f>IF(($G$39&lt;=DATE(2021,12,31))*($H$39&gt;=DATE(2021,10,1)),$C$39 * $F$39 * MAX(0, MIN((YEAR($H$39)*12+MONTH($H$39)), (YEAR(DATE(2021,12,31))*12+MONTH(DATE(2021,12,31)))) - MAX((YEAR($G$39)*12+MONTH($G$39)), (YEAR(DATE(2021,10,1))*12+MONTH(DATE(2021,10,1)))) + 1),0)</f>
        <v/>
      </c>
      <c r="O39" s="16">
        <f>IF(($G$39&lt;=DATE(2022,3,31))*($H$39&gt;=DATE(2022,1,1)),$C$39 * $F$39 * MAX(0, MIN((YEAR($H$39)*12+MONTH($H$39)), (YEAR(DATE(2022,3,31))*12+MONTH(DATE(2022,3,31)))) - MAX((YEAR($G$39)*12+MONTH($G$39)), (YEAR(DATE(2022,1,1))*12+MONTH(DATE(2022,1,1)))) + 1),0)</f>
        <v/>
      </c>
      <c r="P39" s="16">
        <f>IF(($G$39&lt;=DATE(2022,6,30))*($H$39&gt;=DATE(2022,4,1)),$C$39 * $F$39 * MAX(0, MIN((YEAR($H$39)*12+MONTH($H$39)), (YEAR(DATE(2022,6,30))*12+MONTH(DATE(2022,6,30)))) - MAX((YEAR($G$39)*12+MONTH($G$39)), (YEAR(DATE(2022,4,1))*12+MONTH(DATE(2022,4,1)))) + 1),0)</f>
        <v/>
      </c>
      <c r="Q39" s="16">
        <f>IF(($G$39&lt;=DATE(2022,9,30))*($H$39&gt;=DATE(2022,7,1)),$C$39 * $F$39 * MAX(0, MIN((YEAR($H$39)*12+MONTH($H$39)), (YEAR(DATE(2022,9,30))*12+MONTH(DATE(2022,9,30)))) - MAX((YEAR($G$39)*12+MONTH($G$39)), (YEAR(DATE(2022,7,1))*12+MONTH(DATE(2022,7,1)))) + 1),0)</f>
        <v/>
      </c>
      <c r="R39" s="16">
        <f>IF(($G$39&lt;=DATE(2022,12,31))*($H$39&gt;=DATE(2022,10,1)),$C$39 * $F$39 * MAX(0, MIN((YEAR($H$39)*12+MONTH($H$39)), (YEAR(DATE(2022,12,31))*12+MONTH(DATE(2022,12,31)))) - MAX((YEAR($G$39)*12+MONTH($G$39)), (YEAR(DATE(2022,10,1))*12+MONTH(DATE(2022,10,1)))) + 1),0)</f>
        <v/>
      </c>
      <c r="S39" s="16">
        <f>IF(($G$39&lt;=DATE(2023,3,31))*($H$39&gt;=DATE(2023,1,1)),$C$39 * $F$39 * MAX(0, MIN((YEAR($H$39)*12+MONTH($H$39)), (YEAR(DATE(2023,3,31))*12+MONTH(DATE(2023,3,31)))) - MAX((YEAR($G$39)*12+MONTH($G$39)), (YEAR(DATE(2023,1,1))*12+MONTH(DATE(2023,1,1)))) + 1),0)</f>
        <v/>
      </c>
      <c r="T39" s="16">
        <f>IF(($G$39&lt;=DATE(2023,6,30))*($H$39&gt;=DATE(2023,4,1)),$C$39 * $F$39 * MAX(0, MIN((YEAR($H$39)*12+MONTH($H$39)), (YEAR(DATE(2023,6,30))*12+MONTH(DATE(2023,6,30)))) - MAX((YEAR($G$39)*12+MONTH($G$39)), (YEAR(DATE(2023,4,1))*12+MONTH(DATE(2023,4,1)))) + 1),0)</f>
        <v/>
      </c>
      <c r="U39" s="16">
        <f>IF(($G$39&lt;=DATE(2023,9,30))*($H$39&gt;=DATE(2023,7,1)),$C$39 * $F$39 * MAX(0, MIN((YEAR($H$39)*12+MONTH($H$39)), (YEAR(DATE(2023,9,30))*12+MONTH(DATE(2023,9,30)))) - MAX((YEAR($G$39)*12+MONTH($G$39)), (YEAR(DATE(2023,7,1))*12+MONTH(DATE(2023,7,1)))) + 1),0)</f>
        <v/>
      </c>
      <c r="V39" s="16">
        <f>IF(($G$39&lt;=DATE(2023,12,31))*($H$39&gt;=DATE(2023,10,1)),$C$39 * $F$39 * MAX(0, MIN((YEAR($H$39)*12+MONTH($H$39)), (YEAR(DATE(2023,12,31))*12+MONTH(DATE(2023,12,31)))) - MAX((YEAR($G$39)*12+MONTH($G$39)), (YEAR(DATE(2023,10,1))*12+MONTH(DATE(2023,10,1)))) + 1),0)</f>
        <v/>
      </c>
      <c r="W39" s="16">
        <f>IF(($G$39&lt;=DATE(2024,3,31))*($H$39&gt;=DATE(2024,1,1)),$C$39 * $F$39 * MAX(0, MIN((YEAR($H$39)*12+MONTH($H$39)), (YEAR(DATE(2024,3,31))*12+MONTH(DATE(2024,3,31)))) - MAX((YEAR($G$39)*12+MONTH($G$39)), (YEAR(DATE(2024,1,1))*12+MONTH(DATE(2024,1,1)))) + 1),0)</f>
        <v/>
      </c>
      <c r="X39" s="16">
        <f>IF(($G$39&lt;=DATE(2024,6,30))*($H$39&gt;=DATE(2024,4,1)),$C$39 * $F$39 * MAX(0, MIN((YEAR($H$39)*12+MONTH($H$39)), (YEAR(DATE(2024,6,30))*12+MONTH(DATE(2024,6,30)))) - MAX((YEAR($G$39)*12+MONTH($G$39)), (YEAR(DATE(2024,4,1))*12+MONTH(DATE(2024,4,1)))) + 1),0)</f>
        <v/>
      </c>
      <c r="Y39" s="16">
        <f>IF(($G$39&lt;=DATE(2024,9,30))*($H$39&gt;=DATE(2024,7,1)),$C$39 * $F$39 * MAX(0, MIN((YEAR($H$39)*12+MONTH($H$39)), (YEAR(DATE(2024,9,30))*12+MONTH(DATE(2024,9,30)))) - MAX((YEAR($G$39)*12+MONTH($G$39)), (YEAR(DATE(2024,7,1))*12+MONTH(DATE(2024,7,1)))) + 1),0)</f>
        <v/>
      </c>
      <c r="Z39" s="16">
        <f>IF(($G$39&lt;=DATE(2024,12,31))*($H$39&gt;=DATE(2024,10,1)),$C$39 * $F$39 * MAX(0, MIN((YEAR($H$39)*12+MONTH($H$39)), (YEAR(DATE(2024,12,31))*12+MONTH(DATE(2024,12,31)))) - MAX((YEAR($G$39)*12+MONTH($G$39)), (YEAR(DATE(2024,10,1))*12+MONTH(DATE(2024,10,1)))) + 1),0)</f>
        <v/>
      </c>
      <c r="AA39" s="16">
        <f>IF(($G$39&lt;=DATE(2025,3,31))*($H$39&gt;=DATE(2025,1,1)),$C$39 * $F$39 * MAX(0, MIN((YEAR($H$39)*12+MONTH($H$39)), (YEAR(DATE(2025,3,31))*12+MONTH(DATE(2025,3,31)))) - MAX((YEAR($G$39)*12+MONTH($G$39)), (YEAR(DATE(2025,1,1))*12+MONTH(DATE(2025,1,1)))) + 1),0)</f>
        <v/>
      </c>
      <c r="AB39" s="16">
        <f>IF(($G$39&lt;=DATE(2025,6,30))*($H$39&gt;=DATE(2025,4,1)),$C$39 * $F$39 * MAX(0, MIN((YEAR($H$39)*12+MONTH($H$39)), (YEAR(DATE(2025,6,30))*12+MONTH(DATE(2025,6,30)))) - MAX((YEAR($G$39)*12+MONTH($G$39)), (YEAR(DATE(2025,4,1))*12+MONTH(DATE(2025,4,1)))) + 1),0)</f>
        <v/>
      </c>
      <c r="AC39" s="16">
        <f>IF(($G$39&lt;=DATE(2025,9,30))*($H$39&gt;=DATE(2025,7,1)),$C$39 * $F$39 * MAX(0, MIN((YEAR($H$39)*12+MONTH($H$39)), (YEAR(DATE(2025,9,30))*12+MONTH(DATE(2025,9,30)))) - MAX((YEAR($G$39)*12+MONTH($G$39)), (YEAR(DATE(2025,7,1))*12+MONTH(DATE(2025,7,1)))) + 1),0)</f>
        <v/>
      </c>
      <c r="AD39" s="16">
        <f>IF(($G$39&lt;=DATE(2025,12,31))*($H$39&gt;=DATE(2025,10,1)),$C$39 * $F$39 * MAX(0, MIN((YEAR($H$39)*12+MONTH($H$39)), (YEAR(DATE(2025,12,31))*12+MONTH(DATE(2025,12,31)))) - MAX((YEAR($G$39)*12+MONTH($G$39)), (YEAR(DATE(2025,10,1))*12+MONTH(DATE(2025,10,1)))) + 1),0)</f>
        <v/>
      </c>
      <c r="AE39" s="16">
        <f>IF(($G$39&lt;=DATE(2026,3,31))*($H$39&gt;=DATE(2026,1,1)),$C$39 * $F$39 * MAX(0, MIN((YEAR($H$39)*12+MONTH($H$39)), (YEAR(DATE(2026,3,31))*12+MONTH(DATE(2026,3,31)))) - MAX((YEAR($G$39)*12+MONTH($G$39)), (YEAR(DATE(2026,1,1))*12+MONTH(DATE(2026,1,1)))) + 1),0)</f>
        <v/>
      </c>
      <c r="AF39" s="16">
        <f>IF(($G$39&lt;=DATE(2026,6,30))*($H$39&gt;=DATE(2026,4,1)),$C$39 * $F$39 * MAX(0, MIN((YEAR($H$39)*12+MONTH($H$39)), (YEAR(DATE(2026,6,30))*12+MONTH(DATE(2026,6,30)))) - MAX((YEAR($G$39)*12+MONTH($G$39)), (YEAR(DATE(2026,4,1))*12+MONTH(DATE(2026,4,1)))) + 1),0)</f>
        <v/>
      </c>
      <c r="AG39" s="16">
        <f>IF(($G$39&lt;=DATE(2026,9,30))*($H$39&gt;=DATE(2026,7,1)),$C$39 * $F$39 * MAX(0, MIN((YEAR($H$39)*12+MONTH($H$39)), (YEAR(DATE(2026,9,30))*12+MONTH(DATE(2026,9,30)))) - MAX((YEAR($G$39)*12+MONTH($G$39)), (YEAR(DATE(2026,7,1))*12+MONTH(DATE(2026,7,1)))) + 1),0)</f>
        <v/>
      </c>
      <c r="AH39" s="16">
        <f>IF(($G$39&lt;=DATE(2026,12,31))*($H$39&gt;=DATE(2026,10,1)),$C$39 * $F$39 * MAX(0, MIN((YEAR($H$39)*12+MONTH($H$39)), (YEAR(DATE(2026,12,31))*12+MONTH(DATE(2026,12,31)))) - MAX((YEAR($G$39)*12+MONTH($G$39)), (YEAR(DATE(2026,10,1))*12+MONTH(DATE(2026,10,1)))) + 1),0)</f>
        <v/>
      </c>
      <c r="AI39" s="16">
        <f>IF(($G$39&lt;=DATE(2027,3,31))*($H$39&gt;=DATE(2027,1,1)),$C$39 * $F$39 * MAX(0, MIN((YEAR($H$39)*12+MONTH($H$39)), (YEAR(DATE(2027,3,31))*12+MONTH(DATE(2027,3,31)))) - MAX((YEAR($G$39)*12+MONTH($G$39)), (YEAR(DATE(2027,1,1))*12+MONTH(DATE(2027,1,1)))) + 1),0)</f>
        <v/>
      </c>
      <c r="AJ39" s="16">
        <f>IF(($G$39&lt;=DATE(2027,6,30))*($H$39&gt;=DATE(2027,4,1)),$C$39 * $F$39 * MAX(0, MIN((YEAR($H$39)*12+MONTH($H$39)), (YEAR(DATE(2027,6,30))*12+MONTH(DATE(2027,6,30)))) - MAX((YEAR($G$39)*12+MONTH($G$39)), (YEAR(DATE(2027,4,1))*12+MONTH(DATE(2027,4,1)))) + 1),0)</f>
        <v/>
      </c>
      <c r="AK39" s="16">
        <f>IF(($G$39&lt;=DATE(2027,9,30))*($H$39&gt;=DATE(2027,7,1)),$C$39 * $F$39 * MAX(0, MIN((YEAR($H$39)*12+MONTH($H$39)), (YEAR(DATE(2027,9,30))*12+MONTH(DATE(2027,9,30)))) - MAX((YEAR($G$39)*12+MONTH($G$39)), (YEAR(DATE(2027,7,1))*12+MONTH(DATE(2027,7,1)))) + 1),0)</f>
        <v/>
      </c>
      <c r="AL39" s="16">
        <f>IF(($G$39&lt;=DATE(2027,12,31))*($H$39&gt;=DATE(2027,10,1)),$C$39 * $F$39 * MAX(0, MIN((YEAR($H$39)*12+MONTH($H$39)), (YEAR(DATE(2027,12,31))*12+MONTH(DATE(2027,12,31)))) - MAX((YEAR($G$39)*12+MONTH($G$39)), (YEAR(DATE(2027,10,1))*12+MONTH(DATE(2027,10,1)))) + 1),0)</f>
        <v/>
      </c>
      <c r="AM39" s="16">
        <f>IF(($G$39&lt;=DATE(2028,3,31))*($H$39&gt;=DATE(2028,1,1)),$C$39 * $F$39 * MAX(0, MIN((YEAR($H$39)*12+MONTH($H$39)), (YEAR(DATE(2028,3,31))*12+MONTH(DATE(2028,3,31)))) - MAX((YEAR($G$39)*12+MONTH($G$39)), (YEAR(DATE(2028,1,1))*12+MONTH(DATE(2028,1,1)))) + 1),0)</f>
        <v/>
      </c>
      <c r="AN39" s="16">
        <f>IF(($G$39&lt;=DATE(2028,6,30))*($H$39&gt;=DATE(2028,4,1)),$C$39 * $F$39 * MAX(0, MIN((YEAR($H$39)*12+MONTH($H$39)), (YEAR(DATE(2028,6,30))*12+MONTH(DATE(2028,6,30)))) - MAX((YEAR($G$39)*12+MONTH($G$39)), (YEAR(DATE(2028,4,1))*12+MONTH(DATE(2028,4,1)))) + 1),0)</f>
        <v/>
      </c>
      <c r="AO39" s="16">
        <f>IF(($G$39&lt;=DATE(2028,9,30))*($H$39&gt;=DATE(2028,7,1)),$C$39 * $F$39 * MAX(0, MIN((YEAR($H$39)*12+MONTH($H$39)), (YEAR(DATE(2028,9,30))*12+MONTH(DATE(2028,9,30)))) - MAX((YEAR($G$39)*12+MONTH($G$39)), (YEAR(DATE(2028,7,1))*12+MONTH(DATE(2028,7,1)))) + 1),0)</f>
        <v/>
      </c>
      <c r="AP39" s="16">
        <f>IF(($G$39&lt;=DATE(2028,12,31))*($H$39&gt;=DATE(2028,10,1)),$C$39 * $F$39 * MAX(0, MIN((YEAR($H$39)*12+MONTH($H$39)), (YEAR(DATE(2028,12,31))*12+MONTH(DATE(2028,12,31)))) - MAX((YEAR($G$39)*12+MONTH($G$39)), (YEAR(DATE(2028,10,1))*12+MONTH(DATE(2028,10,1)))) + 1),0)</f>
        <v/>
      </c>
      <c r="AQ39" s="16">
        <f>IF(AND($D$39 &gt;= DATE(2021,1,1), $D$39 &lt;= DATE(2021,3,31)), $C$39 * $E$39 * $F$39, 0)</f>
        <v/>
      </c>
      <c r="AR39" s="16">
        <f>IF(AND($D$39 &gt;= DATE(2021,4,1), $D$39 &lt;= DATE(2021,6,30)), $C$39 * $E$39 * $F$39, 0)</f>
        <v/>
      </c>
      <c r="AS39" s="16">
        <f>IF(AND($D$39 &gt;= DATE(2021,7,1), $D$39 &lt;= DATE(2021,9,30)), $C$39 * $E$39 * $F$39, 0)</f>
        <v/>
      </c>
      <c r="AT39" s="16">
        <f>IF(AND($D$39 &gt;= DATE(2021,10,1), $D$39 &lt;= DATE(2021,12,31)), $C$39 * $E$39 * $F$39, 0)</f>
        <v/>
      </c>
      <c r="AU39" s="16">
        <f>IF(AND($D$39 &gt;= DATE(2022,1,1), $D$39 &lt;= DATE(2022,3,31)), $C$39 * $E$39 * $F$39, 0)</f>
        <v/>
      </c>
      <c r="AV39" s="16">
        <f>IF(AND($D$39 &gt;= DATE(2022,4,1), $D$39 &lt;= DATE(2022,6,30)), $C$39 * $E$39 * $F$39, 0)</f>
        <v/>
      </c>
      <c r="AW39" s="16">
        <f>IF(AND($D$39 &gt;= DATE(2022,7,1), $D$39 &lt;= DATE(2022,9,30)), $C$39 * $E$39 * $F$39, 0)</f>
        <v/>
      </c>
      <c r="AX39" s="16">
        <f>IF(AND($D$39 &gt;= DATE(2022,10,1), $D$39 &lt;= DATE(2022,12,31)), $C$39 * $E$39 * $F$39, 0)</f>
        <v/>
      </c>
      <c r="AY39" s="16">
        <f>IF(AND($D$39 &gt;= DATE(2023,1,1), $D$39 &lt;= DATE(2023,3,31)), $C$39 * $E$39 * $F$39, 0)</f>
        <v/>
      </c>
      <c r="AZ39" s="16">
        <f>IF(AND($D$39 &gt;= DATE(2023,4,1), $D$39 &lt;= DATE(2023,6,30)), $C$39 * $E$39 * $F$39, 0)</f>
        <v/>
      </c>
      <c r="BA39" s="16">
        <f>IF(AND($D$39 &gt;= DATE(2023,7,1), $D$39 &lt;= DATE(2023,9,30)), $C$39 * $E$39 * $F$39, 0)</f>
        <v/>
      </c>
      <c r="BB39" s="16">
        <f>IF(AND($D$39 &gt;= DATE(2023,10,1), $D$39 &lt;= DATE(2023,12,31)), $C$39 * $E$39 * $F$39, 0)</f>
        <v/>
      </c>
      <c r="BC39" s="16">
        <f>IF(AND($D$39 &gt;= DATE(2024,1,1), $D$39 &lt;= DATE(2024,3,31)), $C$39 * $E$39 * $F$39, 0)</f>
        <v/>
      </c>
      <c r="BD39" s="16">
        <f>IF(AND($D$39 &gt;= DATE(2024,4,1), $D$39 &lt;= DATE(2024,6,30)), $C$39 * $E$39 * $F$39, 0)</f>
        <v/>
      </c>
      <c r="BE39" s="16">
        <f>IF(AND($D$39 &gt;= DATE(2024,7,1), $D$39 &lt;= DATE(2024,9,30)), $C$39 * $E$39 * $F$39, 0)</f>
        <v/>
      </c>
      <c r="BF39" s="16">
        <f>IF(AND($D$39 &gt;= DATE(2024,10,1), $D$39 &lt;= DATE(2024,12,31)), $C$39 * $E$39 * $F$39, 0)</f>
        <v/>
      </c>
      <c r="BG39" s="16">
        <f>IF(AND($D$39 &gt;= DATE(2025,1,1), $D$39 &lt;= DATE(2025,3,31)), $C$39 * $E$39 * $F$39, 0)</f>
        <v/>
      </c>
      <c r="BH39" s="16">
        <f>IF(AND($D$39 &gt;= DATE(2025,4,1), $D$39 &lt;= DATE(2025,6,30)), $C$39 * $E$39 * $F$39, 0)</f>
        <v/>
      </c>
      <c r="BI39" s="16">
        <f>IF(AND($D$39 &gt;= DATE(2025,7,1), $D$39 &lt;= DATE(2025,9,30)), $C$39 * $E$39 * $F$39, 0)</f>
        <v/>
      </c>
      <c r="BJ39" s="16">
        <f>IF(AND($D$39 &gt;= DATE(2025,10,1), $D$39 &lt;= DATE(2025,12,31)), $C$39 * $E$39 * $F$39, 0)</f>
        <v/>
      </c>
      <c r="BK39" s="16">
        <f>IF(AND($D$39 &gt;= DATE(2026,1,1), $D$39 &lt;= DATE(2026,3,31)), $C$39 * $E$39 * $F$39, 0)</f>
        <v/>
      </c>
      <c r="BL39" s="16">
        <f>IF(AND($D$39 &gt;= DATE(2026,4,1), $D$39 &lt;= DATE(2026,6,30)), $C$39 * $E$39 * $F$39, 0)</f>
        <v/>
      </c>
      <c r="BM39" s="16">
        <f>IF(AND($D$39 &gt;= DATE(2026,7,1), $D$39 &lt;= DATE(2026,9,30)), $C$39 * $E$39 * $F$39, 0)</f>
        <v/>
      </c>
      <c r="BN39" s="16">
        <f>IF(AND($D$39 &gt;= DATE(2026,10,1), $D$39 &lt;= DATE(2026,12,31)), $C$39 * $E$39 * $F$39, 0)</f>
        <v/>
      </c>
      <c r="BO39" s="16">
        <f>IF(AND($D$39 &gt;= DATE(2027,1,1), $D$39 &lt;= DATE(2027,3,31)), $C$39 * $E$39 * $F$39, 0)</f>
        <v/>
      </c>
      <c r="BP39" s="16">
        <f>IF(AND($D$39 &gt;= DATE(2027,4,1), $D$39 &lt;= DATE(2027,6,30)), $C$39 * $E$39 * $F$39, 0)</f>
        <v/>
      </c>
      <c r="BQ39" s="16">
        <f>IF(AND($D$39 &gt;= DATE(2027,7,1), $D$39 &lt;= DATE(2027,9,30)), $C$39 * $E$39 * $F$39, 0)</f>
        <v/>
      </c>
      <c r="BR39" s="16">
        <f>IF(AND($D$39 &gt;= DATE(2027,10,1), $D$39 &lt;= DATE(2027,12,31)), $C$39 * $E$39 * $F$39, 0)</f>
        <v/>
      </c>
      <c r="BS39" s="16">
        <f>IF(AND($D$39 &gt;= DATE(2028,1,1), $D$39 &lt;= DATE(2028,3,31)), $C$39 * $E$39 * $F$39, 0)</f>
        <v/>
      </c>
      <c r="BT39" s="16">
        <f>IF(AND($D$39 &gt;= DATE(2028,4,1), $D$39 &lt;= DATE(2028,6,30)), $C$39 * $E$39 * $F$39, 0)</f>
        <v/>
      </c>
      <c r="BU39" s="16">
        <f>IF(AND($D$39 &gt;= DATE(2028,7,1), $D$39 &lt;= DATE(2028,9,30)), $C$39 * $E$39 * $F$39, 0)</f>
        <v/>
      </c>
      <c r="BV39" s="16">
        <f>IF(AND($D$39 &gt;= DATE(2028,10,1), $D$39 &lt;= DATE(2028,12,31)), $C$39 * $E$39 * $F$39, 0)</f>
        <v/>
      </c>
    </row>
    <row r="40">
      <c r="B40" t="inlineStr">
        <is>
          <t>Westgate &gt; Cordial Logistics &gt; System Architecture Phase</t>
        </is>
      </c>
      <c r="C40" s="16" t="n">
        <v>180000</v>
      </c>
      <c r="D40" s="18" t="n">
        <v>46508</v>
      </c>
      <c r="E40" s="16" t="n">
        <v>6</v>
      </c>
      <c r="F40" s="19" t="n">
        <v>0.35</v>
      </c>
      <c r="G40" s="18" t="n">
        <v>46539</v>
      </c>
      <c r="H40" s="18" t="n">
        <v>46692</v>
      </c>
      <c r="I40" s="16">
        <f>$C$40 * $E$40</f>
        <v/>
      </c>
      <c r="J40" s="20">
        <f>$C$40 * $E$40 * $F$40</f>
        <v/>
      </c>
      <c r="K40" s="16">
        <f>IF(($G$40&lt;=DATE(2021,3,31))*($H$40&gt;=DATE(2021,1,1)),$C$40 * $F$40 * MAX(0, MIN((YEAR($H$40)*12+MONTH($H$40)), (YEAR(DATE(2021,3,31))*12+MONTH(DATE(2021,3,31)))) - MAX((YEAR($G$40)*12+MONTH($G$40)), (YEAR(DATE(2021,1,1))*12+MONTH(DATE(2021,1,1)))) + 1),0)</f>
        <v/>
      </c>
      <c r="L40" s="16">
        <f>IF(($G$40&lt;=DATE(2021,6,30))*($H$40&gt;=DATE(2021,4,1)),$C$40 * $F$40 * MAX(0, MIN((YEAR($H$40)*12+MONTH($H$40)), (YEAR(DATE(2021,6,30))*12+MONTH(DATE(2021,6,30)))) - MAX((YEAR($G$40)*12+MONTH($G$40)), (YEAR(DATE(2021,4,1))*12+MONTH(DATE(2021,4,1)))) + 1),0)</f>
        <v/>
      </c>
      <c r="M40" s="16">
        <f>IF(($G$40&lt;=DATE(2021,9,30))*($H$40&gt;=DATE(2021,7,1)),$C$40 * $F$40 * MAX(0, MIN((YEAR($H$40)*12+MONTH($H$40)), (YEAR(DATE(2021,9,30))*12+MONTH(DATE(2021,9,30)))) - MAX((YEAR($G$40)*12+MONTH($G$40)), (YEAR(DATE(2021,7,1))*12+MONTH(DATE(2021,7,1)))) + 1),0)</f>
        <v/>
      </c>
      <c r="N40" s="16">
        <f>IF(($G$40&lt;=DATE(2021,12,31))*($H$40&gt;=DATE(2021,10,1)),$C$40 * $F$40 * MAX(0, MIN((YEAR($H$40)*12+MONTH($H$40)), (YEAR(DATE(2021,12,31))*12+MONTH(DATE(2021,12,31)))) - MAX((YEAR($G$40)*12+MONTH($G$40)), (YEAR(DATE(2021,10,1))*12+MONTH(DATE(2021,10,1)))) + 1),0)</f>
        <v/>
      </c>
      <c r="O40" s="16">
        <f>IF(($G$40&lt;=DATE(2022,3,31))*($H$40&gt;=DATE(2022,1,1)),$C$40 * $F$40 * MAX(0, MIN((YEAR($H$40)*12+MONTH($H$40)), (YEAR(DATE(2022,3,31))*12+MONTH(DATE(2022,3,31)))) - MAX((YEAR($G$40)*12+MONTH($G$40)), (YEAR(DATE(2022,1,1))*12+MONTH(DATE(2022,1,1)))) + 1),0)</f>
        <v/>
      </c>
      <c r="P40" s="16">
        <f>IF(($G$40&lt;=DATE(2022,6,30))*($H$40&gt;=DATE(2022,4,1)),$C$40 * $F$40 * MAX(0, MIN((YEAR($H$40)*12+MONTH($H$40)), (YEAR(DATE(2022,6,30))*12+MONTH(DATE(2022,6,30)))) - MAX((YEAR($G$40)*12+MONTH($G$40)), (YEAR(DATE(2022,4,1))*12+MONTH(DATE(2022,4,1)))) + 1),0)</f>
        <v/>
      </c>
      <c r="Q40" s="16">
        <f>IF(($G$40&lt;=DATE(2022,9,30))*($H$40&gt;=DATE(2022,7,1)),$C$40 * $F$40 * MAX(0, MIN((YEAR($H$40)*12+MONTH($H$40)), (YEAR(DATE(2022,9,30))*12+MONTH(DATE(2022,9,30)))) - MAX((YEAR($G$40)*12+MONTH($G$40)), (YEAR(DATE(2022,7,1))*12+MONTH(DATE(2022,7,1)))) + 1),0)</f>
        <v/>
      </c>
      <c r="R40" s="16">
        <f>IF(($G$40&lt;=DATE(2022,12,31))*($H$40&gt;=DATE(2022,10,1)),$C$40 * $F$40 * MAX(0, MIN((YEAR($H$40)*12+MONTH($H$40)), (YEAR(DATE(2022,12,31))*12+MONTH(DATE(2022,12,31)))) - MAX((YEAR($G$40)*12+MONTH($G$40)), (YEAR(DATE(2022,10,1))*12+MONTH(DATE(2022,10,1)))) + 1),0)</f>
        <v/>
      </c>
      <c r="S40" s="16">
        <f>IF(($G$40&lt;=DATE(2023,3,31))*($H$40&gt;=DATE(2023,1,1)),$C$40 * $F$40 * MAX(0, MIN((YEAR($H$40)*12+MONTH($H$40)), (YEAR(DATE(2023,3,31))*12+MONTH(DATE(2023,3,31)))) - MAX((YEAR($G$40)*12+MONTH($G$40)), (YEAR(DATE(2023,1,1))*12+MONTH(DATE(2023,1,1)))) + 1),0)</f>
        <v/>
      </c>
      <c r="T40" s="16">
        <f>IF(($G$40&lt;=DATE(2023,6,30))*($H$40&gt;=DATE(2023,4,1)),$C$40 * $F$40 * MAX(0, MIN((YEAR($H$40)*12+MONTH($H$40)), (YEAR(DATE(2023,6,30))*12+MONTH(DATE(2023,6,30)))) - MAX((YEAR($G$40)*12+MONTH($G$40)), (YEAR(DATE(2023,4,1))*12+MONTH(DATE(2023,4,1)))) + 1),0)</f>
        <v/>
      </c>
      <c r="U40" s="16">
        <f>IF(($G$40&lt;=DATE(2023,9,30))*($H$40&gt;=DATE(2023,7,1)),$C$40 * $F$40 * MAX(0, MIN((YEAR($H$40)*12+MONTH($H$40)), (YEAR(DATE(2023,9,30))*12+MONTH(DATE(2023,9,30)))) - MAX((YEAR($G$40)*12+MONTH($G$40)), (YEAR(DATE(2023,7,1))*12+MONTH(DATE(2023,7,1)))) + 1),0)</f>
        <v/>
      </c>
      <c r="V40" s="16">
        <f>IF(($G$40&lt;=DATE(2023,12,31))*($H$40&gt;=DATE(2023,10,1)),$C$40 * $F$40 * MAX(0, MIN((YEAR($H$40)*12+MONTH($H$40)), (YEAR(DATE(2023,12,31))*12+MONTH(DATE(2023,12,31)))) - MAX((YEAR($G$40)*12+MONTH($G$40)), (YEAR(DATE(2023,10,1))*12+MONTH(DATE(2023,10,1)))) + 1),0)</f>
        <v/>
      </c>
      <c r="W40" s="16">
        <f>IF(($G$40&lt;=DATE(2024,3,31))*($H$40&gt;=DATE(2024,1,1)),$C$40 * $F$40 * MAX(0, MIN((YEAR($H$40)*12+MONTH($H$40)), (YEAR(DATE(2024,3,31))*12+MONTH(DATE(2024,3,31)))) - MAX((YEAR($G$40)*12+MONTH($G$40)), (YEAR(DATE(2024,1,1))*12+MONTH(DATE(2024,1,1)))) + 1),0)</f>
        <v/>
      </c>
      <c r="X40" s="16">
        <f>IF(($G$40&lt;=DATE(2024,6,30))*($H$40&gt;=DATE(2024,4,1)),$C$40 * $F$40 * MAX(0, MIN((YEAR($H$40)*12+MONTH($H$40)), (YEAR(DATE(2024,6,30))*12+MONTH(DATE(2024,6,30)))) - MAX((YEAR($G$40)*12+MONTH($G$40)), (YEAR(DATE(2024,4,1))*12+MONTH(DATE(2024,4,1)))) + 1),0)</f>
        <v/>
      </c>
      <c r="Y40" s="16">
        <f>IF(($G$40&lt;=DATE(2024,9,30))*($H$40&gt;=DATE(2024,7,1)),$C$40 * $F$40 * MAX(0, MIN((YEAR($H$40)*12+MONTH($H$40)), (YEAR(DATE(2024,9,30))*12+MONTH(DATE(2024,9,30)))) - MAX((YEAR($G$40)*12+MONTH($G$40)), (YEAR(DATE(2024,7,1))*12+MONTH(DATE(2024,7,1)))) + 1),0)</f>
        <v/>
      </c>
      <c r="Z40" s="16">
        <f>IF(($G$40&lt;=DATE(2024,12,31))*($H$40&gt;=DATE(2024,10,1)),$C$40 * $F$40 * MAX(0, MIN((YEAR($H$40)*12+MONTH($H$40)), (YEAR(DATE(2024,12,31))*12+MONTH(DATE(2024,12,31)))) - MAX((YEAR($G$40)*12+MONTH($G$40)), (YEAR(DATE(2024,10,1))*12+MONTH(DATE(2024,10,1)))) + 1),0)</f>
        <v/>
      </c>
      <c r="AA40" s="16">
        <f>IF(($G$40&lt;=DATE(2025,3,31))*($H$40&gt;=DATE(2025,1,1)),$C$40 * $F$40 * MAX(0, MIN((YEAR($H$40)*12+MONTH($H$40)), (YEAR(DATE(2025,3,31))*12+MONTH(DATE(2025,3,31)))) - MAX((YEAR($G$40)*12+MONTH($G$40)), (YEAR(DATE(2025,1,1))*12+MONTH(DATE(2025,1,1)))) + 1),0)</f>
        <v/>
      </c>
      <c r="AB40" s="16">
        <f>IF(($G$40&lt;=DATE(2025,6,30))*($H$40&gt;=DATE(2025,4,1)),$C$40 * $F$40 * MAX(0, MIN((YEAR($H$40)*12+MONTH($H$40)), (YEAR(DATE(2025,6,30))*12+MONTH(DATE(2025,6,30)))) - MAX((YEAR($G$40)*12+MONTH($G$40)), (YEAR(DATE(2025,4,1))*12+MONTH(DATE(2025,4,1)))) + 1),0)</f>
        <v/>
      </c>
      <c r="AC40" s="16">
        <f>IF(($G$40&lt;=DATE(2025,9,30))*($H$40&gt;=DATE(2025,7,1)),$C$40 * $F$40 * MAX(0, MIN((YEAR($H$40)*12+MONTH($H$40)), (YEAR(DATE(2025,9,30))*12+MONTH(DATE(2025,9,30)))) - MAX((YEAR($G$40)*12+MONTH($G$40)), (YEAR(DATE(2025,7,1))*12+MONTH(DATE(2025,7,1)))) + 1),0)</f>
        <v/>
      </c>
      <c r="AD40" s="16">
        <f>IF(($G$40&lt;=DATE(2025,12,31))*($H$40&gt;=DATE(2025,10,1)),$C$40 * $F$40 * MAX(0, MIN((YEAR($H$40)*12+MONTH($H$40)), (YEAR(DATE(2025,12,31))*12+MONTH(DATE(2025,12,31)))) - MAX((YEAR($G$40)*12+MONTH($G$40)), (YEAR(DATE(2025,10,1))*12+MONTH(DATE(2025,10,1)))) + 1),0)</f>
        <v/>
      </c>
      <c r="AE40" s="16">
        <f>IF(($G$40&lt;=DATE(2026,3,31))*($H$40&gt;=DATE(2026,1,1)),$C$40 * $F$40 * MAX(0, MIN((YEAR($H$40)*12+MONTH($H$40)), (YEAR(DATE(2026,3,31))*12+MONTH(DATE(2026,3,31)))) - MAX((YEAR($G$40)*12+MONTH($G$40)), (YEAR(DATE(2026,1,1))*12+MONTH(DATE(2026,1,1)))) + 1),0)</f>
        <v/>
      </c>
      <c r="AF40" s="16">
        <f>IF(($G$40&lt;=DATE(2026,6,30))*($H$40&gt;=DATE(2026,4,1)),$C$40 * $F$40 * MAX(0, MIN((YEAR($H$40)*12+MONTH($H$40)), (YEAR(DATE(2026,6,30))*12+MONTH(DATE(2026,6,30)))) - MAX((YEAR($G$40)*12+MONTH($G$40)), (YEAR(DATE(2026,4,1))*12+MONTH(DATE(2026,4,1)))) + 1),0)</f>
        <v/>
      </c>
      <c r="AG40" s="16">
        <f>IF(($G$40&lt;=DATE(2026,9,30))*($H$40&gt;=DATE(2026,7,1)),$C$40 * $F$40 * MAX(0, MIN((YEAR($H$40)*12+MONTH($H$40)), (YEAR(DATE(2026,9,30))*12+MONTH(DATE(2026,9,30)))) - MAX((YEAR($G$40)*12+MONTH($G$40)), (YEAR(DATE(2026,7,1))*12+MONTH(DATE(2026,7,1)))) + 1),0)</f>
        <v/>
      </c>
      <c r="AH40" s="16">
        <f>IF(($G$40&lt;=DATE(2026,12,31))*($H$40&gt;=DATE(2026,10,1)),$C$40 * $F$40 * MAX(0, MIN((YEAR($H$40)*12+MONTH($H$40)), (YEAR(DATE(2026,12,31))*12+MONTH(DATE(2026,12,31)))) - MAX((YEAR($G$40)*12+MONTH($G$40)), (YEAR(DATE(2026,10,1))*12+MONTH(DATE(2026,10,1)))) + 1),0)</f>
        <v/>
      </c>
      <c r="AI40" s="16">
        <f>IF(($G$40&lt;=DATE(2027,3,31))*($H$40&gt;=DATE(2027,1,1)),$C$40 * $F$40 * MAX(0, MIN((YEAR($H$40)*12+MONTH($H$40)), (YEAR(DATE(2027,3,31))*12+MONTH(DATE(2027,3,31)))) - MAX((YEAR($G$40)*12+MONTH($G$40)), (YEAR(DATE(2027,1,1))*12+MONTH(DATE(2027,1,1)))) + 1),0)</f>
        <v/>
      </c>
      <c r="AJ40" s="16">
        <f>IF(($G$40&lt;=DATE(2027,6,30))*($H$40&gt;=DATE(2027,4,1)),$C$40 * $F$40 * MAX(0, MIN((YEAR($H$40)*12+MONTH($H$40)), (YEAR(DATE(2027,6,30))*12+MONTH(DATE(2027,6,30)))) - MAX((YEAR($G$40)*12+MONTH($G$40)), (YEAR(DATE(2027,4,1))*12+MONTH(DATE(2027,4,1)))) + 1),0)</f>
        <v/>
      </c>
      <c r="AK40" s="16">
        <f>IF(($G$40&lt;=DATE(2027,9,30))*($H$40&gt;=DATE(2027,7,1)),$C$40 * $F$40 * MAX(0, MIN((YEAR($H$40)*12+MONTH($H$40)), (YEAR(DATE(2027,9,30))*12+MONTH(DATE(2027,9,30)))) - MAX((YEAR($G$40)*12+MONTH($G$40)), (YEAR(DATE(2027,7,1))*12+MONTH(DATE(2027,7,1)))) + 1),0)</f>
        <v/>
      </c>
      <c r="AL40" s="16">
        <f>IF(($G$40&lt;=DATE(2027,12,31))*($H$40&gt;=DATE(2027,10,1)),$C$40 * $F$40 * MAX(0, MIN((YEAR($H$40)*12+MONTH($H$40)), (YEAR(DATE(2027,12,31))*12+MONTH(DATE(2027,12,31)))) - MAX((YEAR($G$40)*12+MONTH($G$40)), (YEAR(DATE(2027,10,1))*12+MONTH(DATE(2027,10,1)))) + 1),0)</f>
        <v/>
      </c>
      <c r="AM40" s="16">
        <f>IF(($G$40&lt;=DATE(2028,3,31))*($H$40&gt;=DATE(2028,1,1)),$C$40 * $F$40 * MAX(0, MIN((YEAR($H$40)*12+MONTH($H$40)), (YEAR(DATE(2028,3,31))*12+MONTH(DATE(2028,3,31)))) - MAX((YEAR($G$40)*12+MONTH($G$40)), (YEAR(DATE(2028,1,1))*12+MONTH(DATE(2028,1,1)))) + 1),0)</f>
        <v/>
      </c>
      <c r="AN40" s="16">
        <f>IF(($G$40&lt;=DATE(2028,6,30))*($H$40&gt;=DATE(2028,4,1)),$C$40 * $F$40 * MAX(0, MIN((YEAR($H$40)*12+MONTH($H$40)), (YEAR(DATE(2028,6,30))*12+MONTH(DATE(2028,6,30)))) - MAX((YEAR($G$40)*12+MONTH($G$40)), (YEAR(DATE(2028,4,1))*12+MONTH(DATE(2028,4,1)))) + 1),0)</f>
        <v/>
      </c>
      <c r="AO40" s="16">
        <f>IF(($G$40&lt;=DATE(2028,9,30))*($H$40&gt;=DATE(2028,7,1)),$C$40 * $F$40 * MAX(0, MIN((YEAR($H$40)*12+MONTH($H$40)), (YEAR(DATE(2028,9,30))*12+MONTH(DATE(2028,9,30)))) - MAX((YEAR($G$40)*12+MONTH($G$40)), (YEAR(DATE(2028,7,1))*12+MONTH(DATE(2028,7,1)))) + 1),0)</f>
        <v/>
      </c>
      <c r="AP40" s="16">
        <f>IF(($G$40&lt;=DATE(2028,12,31))*($H$40&gt;=DATE(2028,10,1)),$C$40 * $F$40 * MAX(0, MIN((YEAR($H$40)*12+MONTH($H$40)), (YEAR(DATE(2028,12,31))*12+MONTH(DATE(2028,12,31)))) - MAX((YEAR($G$40)*12+MONTH($G$40)), (YEAR(DATE(2028,10,1))*12+MONTH(DATE(2028,10,1)))) + 1),0)</f>
        <v/>
      </c>
      <c r="AQ40" s="16">
        <f>IF(AND($D$40 &gt;= DATE(2021,1,1), $D$40 &lt;= DATE(2021,3,31)), $C$40 * $E$40 * $F$40, 0)</f>
        <v/>
      </c>
      <c r="AR40" s="16">
        <f>IF(AND($D$40 &gt;= DATE(2021,4,1), $D$40 &lt;= DATE(2021,6,30)), $C$40 * $E$40 * $F$40, 0)</f>
        <v/>
      </c>
      <c r="AS40" s="16">
        <f>IF(AND($D$40 &gt;= DATE(2021,7,1), $D$40 &lt;= DATE(2021,9,30)), $C$40 * $E$40 * $F$40, 0)</f>
        <v/>
      </c>
      <c r="AT40" s="16">
        <f>IF(AND($D$40 &gt;= DATE(2021,10,1), $D$40 &lt;= DATE(2021,12,31)), $C$40 * $E$40 * $F$40, 0)</f>
        <v/>
      </c>
      <c r="AU40" s="16">
        <f>IF(AND($D$40 &gt;= DATE(2022,1,1), $D$40 &lt;= DATE(2022,3,31)), $C$40 * $E$40 * $F$40, 0)</f>
        <v/>
      </c>
      <c r="AV40" s="16">
        <f>IF(AND($D$40 &gt;= DATE(2022,4,1), $D$40 &lt;= DATE(2022,6,30)), $C$40 * $E$40 * $F$40, 0)</f>
        <v/>
      </c>
      <c r="AW40" s="16">
        <f>IF(AND($D$40 &gt;= DATE(2022,7,1), $D$40 &lt;= DATE(2022,9,30)), $C$40 * $E$40 * $F$40, 0)</f>
        <v/>
      </c>
      <c r="AX40" s="16">
        <f>IF(AND($D$40 &gt;= DATE(2022,10,1), $D$40 &lt;= DATE(2022,12,31)), $C$40 * $E$40 * $F$40, 0)</f>
        <v/>
      </c>
      <c r="AY40" s="16">
        <f>IF(AND($D$40 &gt;= DATE(2023,1,1), $D$40 &lt;= DATE(2023,3,31)), $C$40 * $E$40 * $F$40, 0)</f>
        <v/>
      </c>
      <c r="AZ40" s="16">
        <f>IF(AND($D$40 &gt;= DATE(2023,4,1), $D$40 &lt;= DATE(2023,6,30)), $C$40 * $E$40 * $F$40, 0)</f>
        <v/>
      </c>
      <c r="BA40" s="16">
        <f>IF(AND($D$40 &gt;= DATE(2023,7,1), $D$40 &lt;= DATE(2023,9,30)), $C$40 * $E$40 * $F$40, 0)</f>
        <v/>
      </c>
      <c r="BB40" s="16">
        <f>IF(AND($D$40 &gt;= DATE(2023,10,1), $D$40 &lt;= DATE(2023,12,31)), $C$40 * $E$40 * $F$40, 0)</f>
        <v/>
      </c>
      <c r="BC40" s="16">
        <f>IF(AND($D$40 &gt;= DATE(2024,1,1), $D$40 &lt;= DATE(2024,3,31)), $C$40 * $E$40 * $F$40, 0)</f>
        <v/>
      </c>
      <c r="BD40" s="16">
        <f>IF(AND($D$40 &gt;= DATE(2024,4,1), $D$40 &lt;= DATE(2024,6,30)), $C$40 * $E$40 * $F$40, 0)</f>
        <v/>
      </c>
      <c r="BE40" s="16">
        <f>IF(AND($D$40 &gt;= DATE(2024,7,1), $D$40 &lt;= DATE(2024,9,30)), $C$40 * $E$40 * $F$40, 0)</f>
        <v/>
      </c>
      <c r="BF40" s="16">
        <f>IF(AND($D$40 &gt;= DATE(2024,10,1), $D$40 &lt;= DATE(2024,12,31)), $C$40 * $E$40 * $F$40, 0)</f>
        <v/>
      </c>
      <c r="BG40" s="16">
        <f>IF(AND($D$40 &gt;= DATE(2025,1,1), $D$40 &lt;= DATE(2025,3,31)), $C$40 * $E$40 * $F$40, 0)</f>
        <v/>
      </c>
      <c r="BH40" s="16">
        <f>IF(AND($D$40 &gt;= DATE(2025,4,1), $D$40 &lt;= DATE(2025,6,30)), $C$40 * $E$40 * $F$40, 0)</f>
        <v/>
      </c>
      <c r="BI40" s="16">
        <f>IF(AND($D$40 &gt;= DATE(2025,7,1), $D$40 &lt;= DATE(2025,9,30)), $C$40 * $E$40 * $F$40, 0)</f>
        <v/>
      </c>
      <c r="BJ40" s="16">
        <f>IF(AND($D$40 &gt;= DATE(2025,10,1), $D$40 &lt;= DATE(2025,12,31)), $C$40 * $E$40 * $F$40, 0)</f>
        <v/>
      </c>
      <c r="BK40" s="16">
        <f>IF(AND($D$40 &gt;= DATE(2026,1,1), $D$40 &lt;= DATE(2026,3,31)), $C$40 * $E$40 * $F$40, 0)</f>
        <v/>
      </c>
      <c r="BL40" s="16">
        <f>IF(AND($D$40 &gt;= DATE(2026,4,1), $D$40 &lt;= DATE(2026,6,30)), $C$40 * $E$40 * $F$40, 0)</f>
        <v/>
      </c>
      <c r="BM40" s="16">
        <f>IF(AND($D$40 &gt;= DATE(2026,7,1), $D$40 &lt;= DATE(2026,9,30)), $C$40 * $E$40 * $F$40, 0)</f>
        <v/>
      </c>
      <c r="BN40" s="16">
        <f>IF(AND($D$40 &gt;= DATE(2026,10,1), $D$40 &lt;= DATE(2026,12,31)), $C$40 * $E$40 * $F$40, 0)</f>
        <v/>
      </c>
      <c r="BO40" s="16">
        <f>IF(AND($D$40 &gt;= DATE(2027,1,1), $D$40 &lt;= DATE(2027,3,31)), $C$40 * $E$40 * $F$40, 0)</f>
        <v/>
      </c>
      <c r="BP40" s="16">
        <f>IF(AND($D$40 &gt;= DATE(2027,4,1), $D$40 &lt;= DATE(2027,6,30)), $C$40 * $E$40 * $F$40, 0)</f>
        <v/>
      </c>
      <c r="BQ40" s="16">
        <f>IF(AND($D$40 &gt;= DATE(2027,7,1), $D$40 &lt;= DATE(2027,9,30)), $C$40 * $E$40 * $F$40, 0)</f>
        <v/>
      </c>
      <c r="BR40" s="16">
        <f>IF(AND($D$40 &gt;= DATE(2027,10,1), $D$40 &lt;= DATE(2027,12,31)), $C$40 * $E$40 * $F$40, 0)</f>
        <v/>
      </c>
      <c r="BS40" s="16">
        <f>IF(AND($D$40 &gt;= DATE(2028,1,1), $D$40 &lt;= DATE(2028,3,31)), $C$40 * $E$40 * $F$40, 0)</f>
        <v/>
      </c>
      <c r="BT40" s="16">
        <f>IF(AND($D$40 &gt;= DATE(2028,4,1), $D$40 &lt;= DATE(2028,6,30)), $C$40 * $E$40 * $F$40, 0)</f>
        <v/>
      </c>
      <c r="BU40" s="16">
        <f>IF(AND($D$40 &gt;= DATE(2028,7,1), $D$40 &lt;= DATE(2028,9,30)), $C$40 * $E$40 * $F$40, 0)</f>
        <v/>
      </c>
      <c r="BV40" s="16">
        <f>IF(AND($D$40 &gt;= DATE(2028,10,1), $D$40 &lt;= DATE(2028,12,31)), $C$40 * $E$40 * $F$40, 0)</f>
        <v/>
      </c>
    </row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Q35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 ht="6" customHeight="1"/>
    <row r="2">
      <c r="B2" s="1" t="inlineStr">
        <is>
          <t>Exec Summary</t>
        </is>
      </c>
    </row>
    <row r="3">
      <c r="B3" s="4" t="inlineStr">
        <is>
          <t>Link to Cover</t>
        </is>
      </c>
    </row>
    <row r="4">
      <c r="A4" s="7" t="n"/>
      <c r="B4" s="21" t="inlineStr">
        <is>
          <t>All figures in $ thousands, unless otherwise noted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8" t="n"/>
      <c r="C6" s="22" t="n">
        <v>44197</v>
      </c>
      <c r="D6" s="22" t="n">
        <v>44562</v>
      </c>
      <c r="E6" s="22" t="n">
        <v>44927</v>
      </c>
      <c r="F6" s="22" t="n">
        <v>45292</v>
      </c>
      <c r="G6" s="22" t="n">
        <v>45658</v>
      </c>
      <c r="H6" s="23" t="n">
        <v>46023</v>
      </c>
      <c r="I6" s="23" t="n">
        <v>46388</v>
      </c>
      <c r="J6" s="23" t="n">
        <v>46753</v>
      </c>
      <c r="K6" s="8" t="inlineStr"/>
      <c r="L6" s="24" t="inlineStr">
        <is>
          <t>Q1 '21</t>
        </is>
      </c>
      <c r="M6" s="24" t="inlineStr">
        <is>
          <t>Q2 '21</t>
        </is>
      </c>
      <c r="N6" s="24" t="inlineStr">
        <is>
          <t>Q3 '21</t>
        </is>
      </c>
      <c r="O6" s="24" t="inlineStr">
        <is>
          <t>Q4 '21</t>
        </is>
      </c>
      <c r="P6" s="24" t="inlineStr">
        <is>
          <t>Q1 '22</t>
        </is>
      </c>
      <c r="Q6" s="24" t="inlineStr">
        <is>
          <t>Q2 '22</t>
        </is>
      </c>
      <c r="R6" s="24" t="inlineStr">
        <is>
          <t>Q3 '22</t>
        </is>
      </c>
      <c r="S6" s="24" t="inlineStr">
        <is>
          <t>Q4 '22</t>
        </is>
      </c>
      <c r="T6" s="24" t="inlineStr">
        <is>
          <t>Q1 '23</t>
        </is>
      </c>
      <c r="U6" s="24" t="inlineStr">
        <is>
          <t>Q2 '23</t>
        </is>
      </c>
      <c r="V6" s="24" t="inlineStr">
        <is>
          <t>Q3 '23</t>
        </is>
      </c>
      <c r="W6" s="24" t="inlineStr">
        <is>
          <t>Q4 '23</t>
        </is>
      </c>
      <c r="X6" s="24" t="inlineStr">
        <is>
          <t>Q1 '24</t>
        </is>
      </c>
      <c r="Y6" s="24" t="inlineStr">
        <is>
          <t>Q2 '24</t>
        </is>
      </c>
      <c r="Z6" s="24" t="inlineStr">
        <is>
          <t>Q3 '24</t>
        </is>
      </c>
      <c r="AA6" s="24" t="inlineStr">
        <is>
          <t>Q4 '24</t>
        </is>
      </c>
      <c r="AB6" s="24" t="inlineStr">
        <is>
          <t>Q1 '25</t>
        </is>
      </c>
      <c r="AC6" s="24" t="inlineStr">
        <is>
          <t>Q2 '25</t>
        </is>
      </c>
      <c r="AD6" s="24" t="inlineStr">
        <is>
          <t>Q3 '25</t>
        </is>
      </c>
      <c r="AE6" s="24" t="inlineStr">
        <is>
          <t>Q4 '25</t>
        </is>
      </c>
      <c r="AF6" s="24" t="inlineStr">
        <is>
          <t>Q1 '26</t>
        </is>
      </c>
      <c r="AG6" s="24" t="inlineStr">
        <is>
          <t>Q2 '26</t>
        </is>
      </c>
      <c r="AH6" s="25" t="inlineStr">
        <is>
          <t>Q3 '26</t>
        </is>
      </c>
      <c r="AI6" s="25" t="inlineStr">
        <is>
          <t>Q4 '26</t>
        </is>
      </c>
      <c r="AJ6" s="25" t="inlineStr">
        <is>
          <t>Q1 '27</t>
        </is>
      </c>
      <c r="AK6" s="25" t="inlineStr">
        <is>
          <t>Q2 '27</t>
        </is>
      </c>
      <c r="AL6" s="25" t="inlineStr">
        <is>
          <t>Q3 '27</t>
        </is>
      </c>
      <c r="AM6" s="25" t="inlineStr">
        <is>
          <t>Q4 '27</t>
        </is>
      </c>
      <c r="AN6" s="25" t="inlineStr">
        <is>
          <t>Q1 '28</t>
        </is>
      </c>
      <c r="AO6" s="25" t="inlineStr">
        <is>
          <t>Q2 '28</t>
        </is>
      </c>
      <c r="AP6" s="25" t="inlineStr">
        <is>
          <t>Q3 '28</t>
        </is>
      </c>
      <c r="AQ6" s="25" t="inlineStr">
        <is>
          <t>Q4 '28</t>
        </is>
      </c>
    </row>
    <row r="7">
      <c r="B7" s="26" t="inlineStr">
        <is>
          <t>Pipeline Expected Bookings</t>
        </is>
      </c>
      <c r="C7" s="27">
        <f>SUM(L7:O7)</f>
        <v/>
      </c>
      <c r="D7" s="27">
        <f>SUM(P7:S7)</f>
        <v/>
      </c>
      <c r="E7" s="27">
        <f>SUM(T7:W7)</f>
        <v/>
      </c>
      <c r="F7" s="27">
        <f>SUM(X7:AA7)</f>
        <v/>
      </c>
      <c r="G7" s="27">
        <f>SUM(AB7:AE7)</f>
        <v/>
      </c>
      <c r="H7" s="27">
        <f>SUM(AF7:AI7)</f>
        <v/>
      </c>
      <c r="I7" s="27">
        <f>SUM(AJ7:AM7)</f>
        <v/>
      </c>
      <c r="J7" s="27">
        <f>SUM(AN7:AQ7)</f>
        <v/>
      </c>
      <c r="L7" s="27">
        <f>'Model'!$D$9</f>
        <v/>
      </c>
      <c r="M7" s="27">
        <f>'Model'!$E$9</f>
        <v/>
      </c>
      <c r="N7" s="27">
        <f>'Model'!$F$9</f>
        <v/>
      </c>
      <c r="O7" s="27">
        <f>'Model'!$G$9</f>
        <v/>
      </c>
      <c r="P7" s="27">
        <f>'Model'!$H$9</f>
        <v/>
      </c>
      <c r="Q7" s="27">
        <f>'Model'!$I$9</f>
        <v/>
      </c>
      <c r="R7" s="27">
        <f>'Model'!$J$9</f>
        <v/>
      </c>
      <c r="S7" s="27">
        <f>'Model'!$K$9</f>
        <v/>
      </c>
      <c r="T7" s="27">
        <f>'Model'!$L$9</f>
        <v/>
      </c>
      <c r="U7" s="27">
        <f>'Model'!$M$9</f>
        <v/>
      </c>
      <c r="V7" s="27">
        <f>'Model'!$N$9</f>
        <v/>
      </c>
      <c r="W7" s="27">
        <f>'Model'!$O$9</f>
        <v/>
      </c>
      <c r="X7" s="27">
        <f>'Model'!$P$9</f>
        <v/>
      </c>
      <c r="Y7" s="27">
        <f>'Model'!$Q$9</f>
        <v/>
      </c>
      <c r="Z7" s="27">
        <f>'Model'!$R$9</f>
        <v/>
      </c>
      <c r="AA7" s="27">
        <f>'Model'!$S$9</f>
        <v/>
      </c>
      <c r="AB7" s="27">
        <f>'Model'!$T$9</f>
        <v/>
      </c>
      <c r="AC7" s="27">
        <f>'Model'!$U$9</f>
        <v/>
      </c>
      <c r="AD7" s="27">
        <f>'Model'!$V$9</f>
        <v/>
      </c>
      <c r="AE7" s="27">
        <f>'Model'!$W$9</f>
        <v/>
      </c>
      <c r="AF7" s="27">
        <f>'Model'!$X$9</f>
        <v/>
      </c>
      <c r="AG7" s="27">
        <f>'Model'!$Y$9</f>
        <v/>
      </c>
      <c r="AH7" s="27">
        <f>'Model'!$Z$9</f>
        <v/>
      </c>
      <c r="AI7" s="27">
        <f>'Model'!$AA$9</f>
        <v/>
      </c>
      <c r="AJ7" s="27">
        <f>'Model'!$AB$9</f>
        <v/>
      </c>
      <c r="AK7" s="27">
        <f>'Model'!$AC$9</f>
        <v/>
      </c>
      <c r="AL7" s="27">
        <f>'Model'!$AD$9</f>
        <v/>
      </c>
      <c r="AM7" s="27">
        <f>'Model'!$AE$9</f>
        <v/>
      </c>
      <c r="AN7" s="27">
        <f>'Model'!$AF$9</f>
        <v/>
      </c>
      <c r="AO7" s="27">
        <f>'Model'!$AG$9</f>
        <v/>
      </c>
      <c r="AP7" s="27">
        <f>'Model'!$AH$9</f>
        <v/>
      </c>
      <c r="AQ7" s="27">
        <f>'Model'!$AI$9</f>
        <v/>
      </c>
    </row>
    <row r="8">
      <c r="B8" s="26" t="inlineStr">
        <is>
          <t>New T&amp;M Bookings (unidentified)</t>
        </is>
      </c>
      <c r="C8" s="27">
        <f>SUM(L8:O8)</f>
        <v/>
      </c>
      <c r="D8" s="27">
        <f>SUM(P8:S8)</f>
        <v/>
      </c>
      <c r="E8" s="27">
        <f>SUM(T8:W8)</f>
        <v/>
      </c>
      <c r="F8" s="27">
        <f>SUM(X8:AA8)</f>
        <v/>
      </c>
      <c r="G8" s="27">
        <f>SUM(AB8:AE8)</f>
        <v/>
      </c>
      <c r="H8" s="27">
        <f>SUM(AF8:AI8)</f>
        <v/>
      </c>
      <c r="I8" s="27">
        <f>SUM(AJ8:AM8)</f>
        <v/>
      </c>
      <c r="J8" s="27">
        <f>SUM(AN8:AQ8)</f>
        <v/>
      </c>
      <c r="L8" s="27">
        <f>'Model'!$D$12</f>
        <v/>
      </c>
      <c r="M8" s="27">
        <f>'Model'!$E$12</f>
        <v/>
      </c>
      <c r="N8" s="27">
        <f>'Model'!$F$12</f>
        <v/>
      </c>
      <c r="O8" s="27">
        <f>'Model'!$G$12</f>
        <v/>
      </c>
      <c r="P8" s="27">
        <f>'Model'!$H$12</f>
        <v/>
      </c>
      <c r="Q8" s="27">
        <f>'Model'!$I$12</f>
        <v/>
      </c>
      <c r="R8" s="27">
        <f>'Model'!$J$12</f>
        <v/>
      </c>
      <c r="S8" s="27">
        <f>'Model'!$K$12</f>
        <v/>
      </c>
      <c r="T8" s="27">
        <f>'Model'!$L$12</f>
        <v/>
      </c>
      <c r="U8" s="27">
        <f>'Model'!$M$12</f>
        <v/>
      </c>
      <c r="V8" s="27">
        <f>'Model'!$N$12</f>
        <v/>
      </c>
      <c r="W8" s="27">
        <f>'Model'!$O$12</f>
        <v/>
      </c>
      <c r="X8" s="27">
        <f>'Model'!$P$12</f>
        <v/>
      </c>
      <c r="Y8" s="27">
        <f>'Model'!$Q$12</f>
        <v/>
      </c>
      <c r="Z8" s="27">
        <f>'Model'!$R$12</f>
        <v/>
      </c>
      <c r="AA8" s="27">
        <f>'Model'!$S$12</f>
        <v/>
      </c>
      <c r="AB8" s="27">
        <f>'Model'!$T$12</f>
        <v/>
      </c>
      <c r="AC8" s="27">
        <f>'Model'!$U$12</f>
        <v/>
      </c>
      <c r="AD8" s="27">
        <f>'Model'!$V$12</f>
        <v/>
      </c>
      <c r="AE8" s="27">
        <f>'Model'!$W$12</f>
        <v/>
      </c>
      <c r="AF8" s="27">
        <f>'Model'!$X$12</f>
        <v/>
      </c>
      <c r="AG8" s="27">
        <f>'Model'!$Y$12</f>
        <v/>
      </c>
      <c r="AH8" s="27">
        <f>'Model'!$Z$12</f>
        <v/>
      </c>
      <c r="AI8" s="27">
        <f>'Model'!$AA$12</f>
        <v/>
      </c>
      <c r="AJ8" s="27">
        <f>'Model'!$AB$12</f>
        <v/>
      </c>
      <c r="AK8" s="27">
        <f>'Model'!$AC$12</f>
        <v/>
      </c>
      <c r="AL8" s="27">
        <f>'Model'!$AD$12</f>
        <v/>
      </c>
      <c r="AM8" s="27">
        <f>'Model'!$AE$12</f>
        <v/>
      </c>
      <c r="AN8" s="27">
        <f>'Model'!$AF$12</f>
        <v/>
      </c>
      <c r="AO8" s="27">
        <f>'Model'!$AG$12</f>
        <v/>
      </c>
      <c r="AP8" s="27">
        <f>'Model'!$AH$12</f>
        <v/>
      </c>
      <c r="AQ8" s="27">
        <f>'Model'!$AI$12</f>
        <v/>
      </c>
    </row>
    <row r="9">
      <c r="B9" s="26" t="inlineStr">
        <is>
          <t>New Fixed-Price Bookings (unidentified)</t>
        </is>
      </c>
      <c r="C9" s="27">
        <f>SUM(L9:O9)</f>
        <v/>
      </c>
      <c r="D9" s="27">
        <f>SUM(P9:S9)</f>
        <v/>
      </c>
      <c r="E9" s="27">
        <f>SUM(T9:W9)</f>
        <v/>
      </c>
      <c r="F9" s="27">
        <f>SUM(X9:AA9)</f>
        <v/>
      </c>
      <c r="G9" s="27">
        <f>SUM(AB9:AE9)</f>
        <v/>
      </c>
      <c r="H9" s="27">
        <f>SUM(AF9:AI9)</f>
        <v/>
      </c>
      <c r="I9" s="27">
        <f>SUM(AJ9:AM9)</f>
        <v/>
      </c>
      <c r="J9" s="27">
        <f>SUM(AN9:AQ9)</f>
        <v/>
      </c>
      <c r="L9" s="27">
        <f>'Model'!$D$14</f>
        <v/>
      </c>
      <c r="M9" s="27">
        <f>'Model'!$E$14</f>
        <v/>
      </c>
      <c r="N9" s="27">
        <f>'Model'!$F$14</f>
        <v/>
      </c>
      <c r="O9" s="27">
        <f>'Model'!$G$14</f>
        <v/>
      </c>
      <c r="P9" s="27">
        <f>'Model'!$H$14</f>
        <v/>
      </c>
      <c r="Q9" s="27">
        <f>'Model'!$I$14</f>
        <v/>
      </c>
      <c r="R9" s="27">
        <f>'Model'!$J$14</f>
        <v/>
      </c>
      <c r="S9" s="27">
        <f>'Model'!$K$14</f>
        <v/>
      </c>
      <c r="T9" s="27">
        <f>'Model'!$L$14</f>
        <v/>
      </c>
      <c r="U9" s="27">
        <f>'Model'!$M$14</f>
        <v/>
      </c>
      <c r="V9" s="27">
        <f>'Model'!$N$14</f>
        <v/>
      </c>
      <c r="W9" s="27">
        <f>'Model'!$O$14</f>
        <v/>
      </c>
      <c r="X9" s="27">
        <f>'Model'!$P$14</f>
        <v/>
      </c>
      <c r="Y9" s="27">
        <f>'Model'!$Q$14</f>
        <v/>
      </c>
      <c r="Z9" s="27">
        <f>'Model'!$R$14</f>
        <v/>
      </c>
      <c r="AA9" s="27">
        <f>'Model'!$S$14</f>
        <v/>
      </c>
      <c r="AB9" s="27">
        <f>'Model'!$T$14</f>
        <v/>
      </c>
      <c r="AC9" s="27">
        <f>'Model'!$U$14</f>
        <v/>
      </c>
      <c r="AD9" s="27">
        <f>'Model'!$V$14</f>
        <v/>
      </c>
      <c r="AE9" s="27">
        <f>'Model'!$W$14</f>
        <v/>
      </c>
      <c r="AF9" s="27">
        <f>'Model'!$X$14</f>
        <v/>
      </c>
      <c r="AG9" s="27">
        <f>'Model'!$Y$14</f>
        <v/>
      </c>
      <c r="AH9" s="27">
        <f>'Model'!$Z$14</f>
        <v/>
      </c>
      <c r="AI9" s="27">
        <f>'Model'!$AA$14</f>
        <v/>
      </c>
      <c r="AJ9" s="27">
        <f>'Model'!$AB$14</f>
        <v/>
      </c>
      <c r="AK9" s="27">
        <f>'Model'!$AC$14</f>
        <v/>
      </c>
      <c r="AL9" s="27">
        <f>'Model'!$AD$14</f>
        <v/>
      </c>
      <c r="AM9" s="27">
        <f>'Model'!$AE$14</f>
        <v/>
      </c>
      <c r="AN9" s="27">
        <f>'Model'!$AF$14</f>
        <v/>
      </c>
      <c r="AO9" s="27">
        <f>'Model'!$AG$14</f>
        <v/>
      </c>
      <c r="AP9" s="27">
        <f>'Model'!$AH$14</f>
        <v/>
      </c>
      <c r="AQ9" s="27">
        <f>'Model'!$AI$14</f>
        <v/>
      </c>
    </row>
    <row r="10">
      <c r="B10" s="28" t="inlineStr">
        <is>
          <t>Total Bookings</t>
        </is>
      </c>
      <c r="C10" s="29">
        <f>SUM(L10:O10)</f>
        <v/>
      </c>
      <c r="D10" s="29">
        <f>SUM(P10:S10)</f>
        <v/>
      </c>
      <c r="E10" s="29">
        <f>SUM(T10:W10)</f>
        <v/>
      </c>
      <c r="F10" s="29">
        <f>SUM(X10:AA10)</f>
        <v/>
      </c>
      <c r="G10" s="29">
        <f>SUM(AB10:AE10)</f>
        <v/>
      </c>
      <c r="H10" s="29">
        <f>SUM(AF10:AI10)</f>
        <v/>
      </c>
      <c r="I10" s="29">
        <f>SUM(AJ10:AM10)</f>
        <v/>
      </c>
      <c r="J10" s="29">
        <f>SUM(AN10:AQ10)</f>
        <v/>
      </c>
      <c r="L10" s="29">
        <f>'Model'!$D$15</f>
        <v/>
      </c>
      <c r="M10" s="29">
        <f>'Model'!$E$15</f>
        <v/>
      </c>
      <c r="N10" s="29">
        <f>'Model'!$F$15</f>
        <v/>
      </c>
      <c r="O10" s="29">
        <f>'Model'!$G$15</f>
        <v/>
      </c>
      <c r="P10" s="29">
        <f>'Model'!$H$15</f>
        <v/>
      </c>
      <c r="Q10" s="29">
        <f>'Model'!$I$15</f>
        <v/>
      </c>
      <c r="R10" s="29">
        <f>'Model'!$J$15</f>
        <v/>
      </c>
      <c r="S10" s="29">
        <f>'Model'!$K$15</f>
        <v/>
      </c>
      <c r="T10" s="29">
        <f>'Model'!$L$15</f>
        <v/>
      </c>
      <c r="U10" s="29">
        <f>'Model'!$M$15</f>
        <v/>
      </c>
      <c r="V10" s="29">
        <f>'Model'!$N$15</f>
        <v/>
      </c>
      <c r="W10" s="29">
        <f>'Model'!$O$15</f>
        <v/>
      </c>
      <c r="X10" s="29">
        <f>'Model'!$P$15</f>
        <v/>
      </c>
      <c r="Y10" s="29">
        <f>'Model'!$Q$15</f>
        <v/>
      </c>
      <c r="Z10" s="29">
        <f>'Model'!$R$15</f>
        <v/>
      </c>
      <c r="AA10" s="29">
        <f>'Model'!$S$15</f>
        <v/>
      </c>
      <c r="AB10" s="29">
        <f>'Model'!$T$15</f>
        <v/>
      </c>
      <c r="AC10" s="29">
        <f>'Model'!$U$15</f>
        <v/>
      </c>
      <c r="AD10" s="29">
        <f>'Model'!$V$15</f>
        <v/>
      </c>
      <c r="AE10" s="29">
        <f>'Model'!$W$15</f>
        <v/>
      </c>
      <c r="AF10" s="29">
        <f>'Model'!$X$15</f>
        <v/>
      </c>
      <c r="AG10" s="29">
        <f>'Model'!$Y$15</f>
        <v/>
      </c>
      <c r="AH10" s="29">
        <f>'Model'!$Z$15</f>
        <v/>
      </c>
      <c r="AI10" s="29">
        <f>'Model'!$AA$15</f>
        <v/>
      </c>
      <c r="AJ10" s="29">
        <f>'Model'!$AB$15</f>
        <v/>
      </c>
      <c r="AK10" s="29">
        <f>'Model'!$AC$15</f>
        <v/>
      </c>
      <c r="AL10" s="29">
        <f>'Model'!$AD$15</f>
        <v/>
      </c>
      <c r="AM10" s="29">
        <f>'Model'!$AE$15</f>
        <v/>
      </c>
      <c r="AN10" s="29">
        <f>'Model'!$AF$15</f>
        <v/>
      </c>
      <c r="AO10" s="29">
        <f>'Model'!$AG$15</f>
        <v/>
      </c>
      <c r="AP10" s="29">
        <f>'Model'!$AH$15</f>
        <v/>
      </c>
      <c r="AQ10" s="29">
        <f>'Model'!$AI$15</f>
        <v/>
      </c>
    </row>
    <row r="11" ht="6" customHeight="1">
      <c r="B11" s="30" t="n"/>
      <c r="C11" s="30" t="n"/>
      <c r="D11" s="30" t="n"/>
      <c r="E11" s="30" t="n"/>
      <c r="F11" s="30" t="n"/>
      <c r="G11" s="30" t="n"/>
      <c r="H11" s="30" t="n"/>
      <c r="I11" s="30" t="n"/>
      <c r="J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  <c r="AB11" s="30" t="n"/>
      <c r="AC11" s="30" t="n"/>
      <c r="AD11" s="30" t="n"/>
      <c r="AE11" s="30" t="n"/>
      <c r="AF11" s="30" t="n"/>
      <c r="AG11" s="30" t="n"/>
      <c r="AH11" s="30" t="n"/>
      <c r="AI11" s="30" t="n"/>
      <c r="AJ11" s="30" t="n"/>
      <c r="AK11" s="30" t="n"/>
      <c r="AL11" s="30" t="n"/>
      <c r="AM11" s="30" t="n"/>
      <c r="AN11" s="30" t="n"/>
      <c r="AO11" s="30" t="n"/>
      <c r="AP11" s="30" t="n"/>
      <c r="AQ11" s="30" t="n"/>
    </row>
    <row r="12">
      <c r="B12" s="26" t="inlineStr">
        <is>
          <t>Time &amp; Materials Revenue</t>
        </is>
      </c>
      <c r="C12" s="27">
        <f>SUM(L12:O12)</f>
        <v/>
      </c>
      <c r="D12" s="27">
        <f>SUM(P12:S12)</f>
        <v/>
      </c>
      <c r="E12" s="27">
        <f>SUM(T12:W12)</f>
        <v/>
      </c>
      <c r="F12" s="27">
        <f>SUM(X12:AA12)</f>
        <v/>
      </c>
      <c r="G12" s="27">
        <f>SUM(AB12:AE12)</f>
        <v/>
      </c>
      <c r="H12" s="27">
        <f>SUM(AF12:AI12)</f>
        <v/>
      </c>
      <c r="I12" s="27">
        <f>SUM(AJ12:AM12)</f>
        <v/>
      </c>
      <c r="J12" s="27">
        <f>SUM(AN12:AQ12)</f>
        <v/>
      </c>
      <c r="L12" s="27">
        <f>'Model'!$D$22</f>
        <v/>
      </c>
      <c r="M12" s="27">
        <f>'Model'!$E$22</f>
        <v/>
      </c>
      <c r="N12" s="27">
        <f>'Model'!$F$22</f>
        <v/>
      </c>
      <c r="O12" s="27">
        <f>'Model'!$G$22</f>
        <v/>
      </c>
      <c r="P12" s="27">
        <f>'Model'!$H$22</f>
        <v/>
      </c>
      <c r="Q12" s="27">
        <f>'Model'!$I$22</f>
        <v/>
      </c>
      <c r="R12" s="27">
        <f>'Model'!$J$22</f>
        <v/>
      </c>
      <c r="S12" s="27">
        <f>'Model'!$K$22</f>
        <v/>
      </c>
      <c r="T12" s="27">
        <f>'Model'!$L$22</f>
        <v/>
      </c>
      <c r="U12" s="27">
        <f>'Model'!$M$22</f>
        <v/>
      </c>
      <c r="V12" s="27">
        <f>'Model'!$N$22</f>
        <v/>
      </c>
      <c r="W12" s="27">
        <f>'Model'!$O$22</f>
        <v/>
      </c>
      <c r="X12" s="27">
        <f>'Model'!$P$22</f>
        <v/>
      </c>
      <c r="Y12" s="27">
        <f>'Model'!$Q$22</f>
        <v/>
      </c>
      <c r="Z12" s="27">
        <f>'Model'!$R$22</f>
        <v/>
      </c>
      <c r="AA12" s="27">
        <f>'Model'!$S$22</f>
        <v/>
      </c>
      <c r="AB12" s="27">
        <f>'Model'!$T$22</f>
        <v/>
      </c>
      <c r="AC12" s="27">
        <f>'Model'!$U$22</f>
        <v/>
      </c>
      <c r="AD12" s="27">
        <f>'Model'!$V$22</f>
        <v/>
      </c>
      <c r="AE12" s="27">
        <f>'Model'!$W$22</f>
        <v/>
      </c>
      <c r="AF12" s="27">
        <f>'Model'!$X$22</f>
        <v/>
      </c>
      <c r="AG12" s="27">
        <f>'Model'!$Y$22</f>
        <v/>
      </c>
      <c r="AH12" s="27">
        <f>'Model'!$Z$22</f>
        <v/>
      </c>
      <c r="AI12" s="27">
        <f>'Model'!$AA$22</f>
        <v/>
      </c>
      <c r="AJ12" s="27">
        <f>'Model'!$AB$22</f>
        <v/>
      </c>
      <c r="AK12" s="27">
        <f>'Model'!$AC$22</f>
        <v/>
      </c>
      <c r="AL12" s="27">
        <f>'Model'!$AD$22</f>
        <v/>
      </c>
      <c r="AM12" s="27">
        <f>'Model'!$AE$22</f>
        <v/>
      </c>
      <c r="AN12" s="27">
        <f>'Model'!$AF$22</f>
        <v/>
      </c>
      <c r="AO12" s="27">
        <f>'Model'!$AG$22</f>
        <v/>
      </c>
      <c r="AP12" s="27">
        <f>'Model'!$AH$22</f>
        <v/>
      </c>
      <c r="AQ12" s="27">
        <f>'Model'!$AI$22</f>
        <v/>
      </c>
    </row>
    <row r="13">
      <c r="B13" s="26" t="inlineStr">
        <is>
          <t>Fixed-Price Revenue</t>
        </is>
      </c>
      <c r="C13" s="27">
        <f>SUM(L13:O13)</f>
        <v/>
      </c>
      <c r="D13" s="27">
        <f>SUM(P13:S13)</f>
        <v/>
      </c>
      <c r="E13" s="27">
        <f>SUM(T13:W13)</f>
        <v/>
      </c>
      <c r="F13" s="27">
        <f>SUM(X13:AA13)</f>
        <v/>
      </c>
      <c r="G13" s="27">
        <f>SUM(AB13:AE13)</f>
        <v/>
      </c>
      <c r="H13" s="27">
        <f>SUM(AF13:AI13)</f>
        <v/>
      </c>
      <c r="I13" s="27">
        <f>SUM(AJ13:AM13)</f>
        <v/>
      </c>
      <c r="J13" s="27">
        <f>SUM(AN13:AQ13)</f>
        <v/>
      </c>
      <c r="L13" s="27">
        <f>'Model'!$D$27</f>
        <v/>
      </c>
      <c r="M13" s="27">
        <f>'Model'!$E$27</f>
        <v/>
      </c>
      <c r="N13" s="27">
        <f>'Model'!$F$27</f>
        <v/>
      </c>
      <c r="O13" s="27">
        <f>'Model'!$G$27</f>
        <v/>
      </c>
      <c r="P13" s="27">
        <f>'Model'!$H$27</f>
        <v/>
      </c>
      <c r="Q13" s="27">
        <f>'Model'!$I$27</f>
        <v/>
      </c>
      <c r="R13" s="27">
        <f>'Model'!$J$27</f>
        <v/>
      </c>
      <c r="S13" s="27">
        <f>'Model'!$K$27</f>
        <v/>
      </c>
      <c r="T13" s="27">
        <f>'Model'!$L$27</f>
        <v/>
      </c>
      <c r="U13" s="27">
        <f>'Model'!$M$27</f>
        <v/>
      </c>
      <c r="V13" s="27">
        <f>'Model'!$N$27</f>
        <v/>
      </c>
      <c r="W13" s="27">
        <f>'Model'!$O$27</f>
        <v/>
      </c>
      <c r="X13" s="27">
        <f>'Model'!$P$27</f>
        <v/>
      </c>
      <c r="Y13" s="27">
        <f>'Model'!$Q$27</f>
        <v/>
      </c>
      <c r="Z13" s="27">
        <f>'Model'!$R$27</f>
        <v/>
      </c>
      <c r="AA13" s="27">
        <f>'Model'!$S$27</f>
        <v/>
      </c>
      <c r="AB13" s="27">
        <f>'Model'!$T$27</f>
        <v/>
      </c>
      <c r="AC13" s="27">
        <f>'Model'!$U$27</f>
        <v/>
      </c>
      <c r="AD13" s="27">
        <f>'Model'!$V$27</f>
        <v/>
      </c>
      <c r="AE13" s="27">
        <f>'Model'!$W$27</f>
        <v/>
      </c>
      <c r="AF13" s="27">
        <f>'Model'!$X$27</f>
        <v/>
      </c>
      <c r="AG13" s="27">
        <f>'Model'!$Y$27</f>
        <v/>
      </c>
      <c r="AH13" s="27">
        <f>'Model'!$Z$27</f>
        <v/>
      </c>
      <c r="AI13" s="27">
        <f>'Model'!$AA$27</f>
        <v/>
      </c>
      <c r="AJ13" s="27">
        <f>'Model'!$AB$27</f>
        <v/>
      </c>
      <c r="AK13" s="27">
        <f>'Model'!$AC$27</f>
        <v/>
      </c>
      <c r="AL13" s="27">
        <f>'Model'!$AD$27</f>
        <v/>
      </c>
      <c r="AM13" s="27">
        <f>'Model'!$AE$27</f>
        <v/>
      </c>
      <c r="AN13" s="27">
        <f>'Model'!$AF$27</f>
        <v/>
      </c>
      <c r="AO13" s="27">
        <f>'Model'!$AG$27</f>
        <v/>
      </c>
      <c r="AP13" s="27">
        <f>'Model'!$AH$27</f>
        <v/>
      </c>
      <c r="AQ13" s="27">
        <f>'Model'!$AI$27</f>
        <v/>
      </c>
    </row>
    <row r="14">
      <c r="B14" s="26" t="inlineStr">
        <is>
          <t>Series Production Revenue</t>
        </is>
      </c>
      <c r="C14" s="27">
        <f>SUM(L14:O14)</f>
        <v/>
      </c>
      <c r="D14" s="27">
        <f>SUM(P14:S14)</f>
        <v/>
      </c>
      <c r="E14" s="27">
        <f>SUM(T14:W14)</f>
        <v/>
      </c>
      <c r="F14" s="27">
        <f>SUM(X14:AA14)</f>
        <v/>
      </c>
      <c r="G14" s="27">
        <f>SUM(AB14:AE14)</f>
        <v/>
      </c>
      <c r="H14" s="27">
        <f>SUM(AF14:AI14)</f>
        <v/>
      </c>
      <c r="I14" s="27">
        <f>SUM(AJ14:AM14)</f>
        <v/>
      </c>
      <c r="J14" s="27">
        <f>SUM(AN14:AQ14)</f>
        <v/>
      </c>
      <c r="L14" s="27">
        <f>'Model'!$D$29</f>
        <v/>
      </c>
      <c r="M14" s="27">
        <f>'Model'!$E$29</f>
        <v/>
      </c>
      <c r="N14" s="27">
        <f>'Model'!$F$29</f>
        <v/>
      </c>
      <c r="O14" s="27">
        <f>'Model'!$G$29</f>
        <v/>
      </c>
      <c r="P14" s="27">
        <f>'Model'!$H$29</f>
        <v/>
      </c>
      <c r="Q14" s="27">
        <f>'Model'!$I$29</f>
        <v/>
      </c>
      <c r="R14" s="27">
        <f>'Model'!$J$29</f>
        <v/>
      </c>
      <c r="S14" s="27">
        <f>'Model'!$K$29</f>
        <v/>
      </c>
      <c r="T14" s="27">
        <f>'Model'!$L$29</f>
        <v/>
      </c>
      <c r="U14" s="27">
        <f>'Model'!$M$29</f>
        <v/>
      </c>
      <c r="V14" s="27">
        <f>'Model'!$N$29</f>
        <v/>
      </c>
      <c r="W14" s="27">
        <f>'Model'!$O$29</f>
        <v/>
      </c>
      <c r="X14" s="27">
        <f>'Model'!$P$29</f>
        <v/>
      </c>
      <c r="Y14" s="27">
        <f>'Model'!$Q$29</f>
        <v/>
      </c>
      <c r="Z14" s="27">
        <f>'Model'!$R$29</f>
        <v/>
      </c>
      <c r="AA14" s="27">
        <f>'Model'!$S$29</f>
        <v/>
      </c>
      <c r="AB14" s="27">
        <f>'Model'!$T$29</f>
        <v/>
      </c>
      <c r="AC14" s="27">
        <f>'Model'!$U$29</f>
        <v/>
      </c>
      <c r="AD14" s="27">
        <f>'Model'!$V$29</f>
        <v/>
      </c>
      <c r="AE14" s="27">
        <f>'Model'!$W$29</f>
        <v/>
      </c>
      <c r="AF14" s="27">
        <f>'Model'!$X$29</f>
        <v/>
      </c>
      <c r="AG14" s="27">
        <f>'Model'!$Y$29</f>
        <v/>
      </c>
      <c r="AH14" s="27">
        <f>'Model'!$Z$29</f>
        <v/>
      </c>
      <c r="AI14" s="27">
        <f>'Model'!$AA$29</f>
        <v/>
      </c>
      <c r="AJ14" s="27">
        <f>'Model'!$AB$29</f>
        <v/>
      </c>
      <c r="AK14" s="27">
        <f>'Model'!$AC$29</f>
        <v/>
      </c>
      <c r="AL14" s="27">
        <f>'Model'!$AD$29</f>
        <v/>
      </c>
      <c r="AM14" s="27">
        <f>'Model'!$AE$29</f>
        <v/>
      </c>
      <c r="AN14" s="27">
        <f>'Model'!$AF$29</f>
        <v/>
      </c>
      <c r="AO14" s="27">
        <f>'Model'!$AG$29</f>
        <v/>
      </c>
      <c r="AP14" s="27">
        <f>'Model'!$AH$29</f>
        <v/>
      </c>
      <c r="AQ14" s="27">
        <f>'Model'!$AI$29</f>
        <v/>
      </c>
    </row>
    <row r="15">
      <c r="B15" s="28" t="inlineStr">
        <is>
          <t>Total Revenue</t>
        </is>
      </c>
      <c r="C15" s="29">
        <f>SUM(L15:O15)</f>
        <v/>
      </c>
      <c r="D15" s="29">
        <f>SUM(P15:S15)</f>
        <v/>
      </c>
      <c r="E15" s="29">
        <f>SUM(T15:W15)</f>
        <v/>
      </c>
      <c r="F15" s="29">
        <f>SUM(X15:AA15)</f>
        <v/>
      </c>
      <c r="G15" s="29">
        <f>SUM(AB15:AE15)</f>
        <v/>
      </c>
      <c r="H15" s="29">
        <f>SUM(AF15:AI15)</f>
        <v/>
      </c>
      <c r="I15" s="29">
        <f>SUM(AJ15:AM15)</f>
        <v/>
      </c>
      <c r="J15" s="29">
        <f>SUM(AN15:AQ15)</f>
        <v/>
      </c>
      <c r="L15" s="29">
        <f>'Model'!$D$31</f>
        <v/>
      </c>
      <c r="M15" s="29">
        <f>'Model'!$E$31</f>
        <v/>
      </c>
      <c r="N15" s="29">
        <f>'Model'!$F$31</f>
        <v/>
      </c>
      <c r="O15" s="29">
        <f>'Model'!$G$31</f>
        <v/>
      </c>
      <c r="P15" s="29">
        <f>'Model'!$H$31</f>
        <v/>
      </c>
      <c r="Q15" s="29">
        <f>'Model'!$I$31</f>
        <v/>
      </c>
      <c r="R15" s="29">
        <f>'Model'!$J$31</f>
        <v/>
      </c>
      <c r="S15" s="29">
        <f>'Model'!$K$31</f>
        <v/>
      </c>
      <c r="T15" s="29">
        <f>'Model'!$L$31</f>
        <v/>
      </c>
      <c r="U15" s="29">
        <f>'Model'!$M$31</f>
        <v/>
      </c>
      <c r="V15" s="29">
        <f>'Model'!$N$31</f>
        <v/>
      </c>
      <c r="W15" s="29">
        <f>'Model'!$O$31</f>
        <v/>
      </c>
      <c r="X15" s="29">
        <f>'Model'!$P$31</f>
        <v/>
      </c>
      <c r="Y15" s="29">
        <f>'Model'!$Q$31</f>
        <v/>
      </c>
      <c r="Z15" s="29">
        <f>'Model'!$R$31</f>
        <v/>
      </c>
      <c r="AA15" s="29">
        <f>'Model'!$S$31</f>
        <v/>
      </c>
      <c r="AB15" s="29">
        <f>'Model'!$T$31</f>
        <v/>
      </c>
      <c r="AC15" s="29">
        <f>'Model'!$U$31</f>
        <v/>
      </c>
      <c r="AD15" s="29">
        <f>'Model'!$V$31</f>
        <v/>
      </c>
      <c r="AE15" s="29">
        <f>'Model'!$W$31</f>
        <v/>
      </c>
      <c r="AF15" s="29">
        <f>'Model'!$X$31</f>
        <v/>
      </c>
      <c r="AG15" s="29">
        <f>'Model'!$Y$31</f>
        <v/>
      </c>
      <c r="AH15" s="29">
        <f>'Model'!$Z$31</f>
        <v/>
      </c>
      <c r="AI15" s="29">
        <f>'Model'!$AA$31</f>
        <v/>
      </c>
      <c r="AJ15" s="29">
        <f>'Model'!$AB$31</f>
        <v/>
      </c>
      <c r="AK15" s="29">
        <f>'Model'!$AC$31</f>
        <v/>
      </c>
      <c r="AL15" s="29">
        <f>'Model'!$AD$31</f>
        <v/>
      </c>
      <c r="AM15" s="29">
        <f>'Model'!$AE$31</f>
        <v/>
      </c>
      <c r="AN15" s="29">
        <f>'Model'!$AF$31</f>
        <v/>
      </c>
      <c r="AO15" s="29">
        <f>'Model'!$AG$31</f>
        <v/>
      </c>
      <c r="AP15" s="29">
        <f>'Model'!$AH$31</f>
        <v/>
      </c>
      <c r="AQ15" s="29">
        <f>'Model'!$AI$31</f>
        <v/>
      </c>
    </row>
    <row r="16">
      <c r="B16" s="31" t="inlineStr">
        <is>
          <t>Y/Y %</t>
        </is>
      </c>
      <c r="C16" s="32" t="n"/>
      <c r="D16" s="32">
        <f>IFERROR(D15/C15-1,"")</f>
        <v/>
      </c>
      <c r="E16" s="32">
        <f>IFERROR(E15/D15-1,"")</f>
        <v/>
      </c>
      <c r="F16" s="32">
        <f>IFERROR(F15/E15-1,"")</f>
        <v/>
      </c>
      <c r="G16" s="32">
        <f>IFERROR(G15/F15-1,"")</f>
        <v/>
      </c>
      <c r="H16" s="32">
        <f>IFERROR(H15/G15-1,"")</f>
        <v/>
      </c>
      <c r="I16" s="32">
        <f>IFERROR(I15/H15-1,"")</f>
        <v/>
      </c>
      <c r="J16" s="32">
        <f>IFERROR(J15/I15-1,"")</f>
        <v/>
      </c>
      <c r="L16" s="32">
        <f>IFERROR(('Model'!$D$31 - 0) / 0, "")</f>
        <v/>
      </c>
      <c r="M16" s="32">
        <f>IFERROR(('Model'!$E$31 - 0) / 0, "")</f>
        <v/>
      </c>
      <c r="N16" s="32">
        <f>IFERROR(('Model'!$F$31 - 0) / 0, "")</f>
        <v/>
      </c>
      <c r="O16" s="32">
        <f>IFERROR(('Model'!$G$31 - 0) / 0, "")</f>
        <v/>
      </c>
      <c r="P16" s="32">
        <f>IFERROR(('Model'!$H$31 - 'Model'!$D$31) / 'Model'!$D$31, "")</f>
        <v/>
      </c>
      <c r="Q16" s="32">
        <f>IFERROR(('Model'!$I$31 - 'Model'!$E$31) / 'Model'!$E$31, "")</f>
        <v/>
      </c>
      <c r="R16" s="32">
        <f>IFERROR(('Model'!$J$31 - 'Model'!$F$31) / 'Model'!$F$31, "")</f>
        <v/>
      </c>
      <c r="S16" s="32">
        <f>IFERROR(('Model'!$K$31 - 'Model'!$G$31) / 'Model'!$G$31, "")</f>
        <v/>
      </c>
      <c r="T16" s="32">
        <f>IFERROR(('Model'!$L$31 - 'Model'!$H$31) / 'Model'!$H$31, "")</f>
        <v/>
      </c>
      <c r="U16" s="32">
        <f>IFERROR(('Model'!$M$31 - 'Model'!$I$31) / 'Model'!$I$31, "")</f>
        <v/>
      </c>
      <c r="V16" s="32">
        <f>IFERROR(('Model'!$N$31 - 'Model'!$J$31) / 'Model'!$J$31, "")</f>
        <v/>
      </c>
      <c r="W16" s="32">
        <f>IFERROR(('Model'!$O$31 - 'Model'!$K$31) / 'Model'!$K$31, "")</f>
        <v/>
      </c>
      <c r="X16" s="32">
        <f>IFERROR(('Model'!$P$31 - 'Model'!$L$31) / 'Model'!$L$31, "")</f>
        <v/>
      </c>
      <c r="Y16" s="32">
        <f>IFERROR(('Model'!$Q$31 - 'Model'!$M$31) / 'Model'!$M$31, "")</f>
        <v/>
      </c>
      <c r="Z16" s="32">
        <f>IFERROR(('Model'!$R$31 - 'Model'!$N$31) / 'Model'!$N$31, "")</f>
        <v/>
      </c>
      <c r="AA16" s="32">
        <f>IFERROR(('Model'!$S$31 - 'Model'!$O$31) / 'Model'!$O$31, "")</f>
        <v/>
      </c>
      <c r="AB16" s="32">
        <f>IFERROR(('Model'!$T$31 - 'Model'!$P$31) / 'Model'!$P$31, "")</f>
        <v/>
      </c>
      <c r="AC16" s="32">
        <f>IFERROR(('Model'!$U$31 - 'Model'!$Q$31) / 'Model'!$Q$31, "")</f>
        <v/>
      </c>
      <c r="AD16" s="32">
        <f>IFERROR(('Model'!$V$31 - 'Model'!$R$31) / 'Model'!$R$31, "")</f>
        <v/>
      </c>
      <c r="AE16" s="32">
        <f>IFERROR(('Model'!$W$31 - 'Model'!$S$31) / 'Model'!$S$31, "")</f>
        <v/>
      </c>
      <c r="AF16" s="32">
        <f>IFERROR(('Model'!$X$31 - 'Model'!$T$31) / 'Model'!$T$31, "")</f>
        <v/>
      </c>
      <c r="AG16" s="32">
        <f>IFERROR(('Model'!$Y$31 - 'Model'!$U$31) / 'Model'!$U$31, "")</f>
        <v/>
      </c>
      <c r="AH16" s="32">
        <f>IFERROR(('Model'!$Z$31 - 'Model'!$V$31) / 'Model'!$V$31, "")</f>
        <v/>
      </c>
      <c r="AI16" s="32">
        <f>IFERROR(('Model'!$AA$31 - 'Model'!$W$31) / 'Model'!$W$31, "")</f>
        <v/>
      </c>
      <c r="AJ16" s="32">
        <f>IFERROR(('Model'!$AB$31 - 'Model'!$X$31) / 'Model'!$X$31, "")</f>
        <v/>
      </c>
      <c r="AK16" s="32">
        <f>IFERROR(('Model'!$AC$31 - 'Model'!$Y$31) / 'Model'!$Y$31, "")</f>
        <v/>
      </c>
      <c r="AL16" s="32">
        <f>IFERROR(('Model'!$AD$31 - 'Model'!$Z$31) / 'Model'!$Z$31, "")</f>
        <v/>
      </c>
      <c r="AM16" s="32">
        <f>IFERROR(('Model'!$AE$31 - 'Model'!$AA$31) / 'Model'!$AA$31, "")</f>
        <v/>
      </c>
      <c r="AN16" s="32">
        <f>IFERROR(('Model'!$AF$31 - 'Model'!$AB$31) / 'Model'!$AB$31, "")</f>
        <v/>
      </c>
      <c r="AO16" s="32">
        <f>IFERROR(('Model'!$AG$31 - 'Model'!$AC$31) / 'Model'!$AC$31, "")</f>
        <v/>
      </c>
      <c r="AP16" s="32">
        <f>IFERROR(('Model'!$AH$31 - 'Model'!$AD$31) / 'Model'!$AD$31, "")</f>
        <v/>
      </c>
      <c r="AQ16" s="32">
        <f>IFERROR(('Model'!$AI$31 - 'Model'!$AE$31) / 'Model'!$AE$31, "")</f>
        <v/>
      </c>
    </row>
    <row r="17" ht="6" customHeight="1"/>
    <row r="18">
      <c r="B18" s="26" t="inlineStr">
        <is>
          <t>Total Cost of Revenue</t>
        </is>
      </c>
      <c r="C18" s="27">
        <f>SUM(L18:O18)</f>
        <v/>
      </c>
      <c r="D18" s="27">
        <f>SUM(P18:S18)</f>
        <v/>
      </c>
      <c r="E18" s="27">
        <f>SUM(T18:W18)</f>
        <v/>
      </c>
      <c r="F18" s="27">
        <f>SUM(X18:AA18)</f>
        <v/>
      </c>
      <c r="G18" s="27">
        <f>SUM(AB18:AE18)</f>
        <v/>
      </c>
      <c r="H18" s="27">
        <f>SUM(AF18:AI18)</f>
        <v/>
      </c>
      <c r="I18" s="27">
        <f>SUM(AJ18:AM18)</f>
        <v/>
      </c>
      <c r="J18" s="27">
        <f>SUM(AN18:AQ18)</f>
        <v/>
      </c>
      <c r="L18" s="27">
        <f>'Model'!$D$44</f>
        <v/>
      </c>
      <c r="M18" s="27">
        <f>'Model'!$E$44</f>
        <v/>
      </c>
      <c r="N18" s="27">
        <f>'Model'!$F$44</f>
        <v/>
      </c>
      <c r="O18" s="27">
        <f>'Model'!$G$44</f>
        <v/>
      </c>
      <c r="P18" s="27">
        <f>'Model'!$H$44</f>
        <v/>
      </c>
      <c r="Q18" s="27">
        <f>'Model'!$I$44</f>
        <v/>
      </c>
      <c r="R18" s="27">
        <f>'Model'!$J$44</f>
        <v/>
      </c>
      <c r="S18" s="27">
        <f>'Model'!$K$44</f>
        <v/>
      </c>
      <c r="T18" s="27">
        <f>'Model'!$L$44</f>
        <v/>
      </c>
      <c r="U18" s="27">
        <f>'Model'!$M$44</f>
        <v/>
      </c>
      <c r="V18" s="27">
        <f>'Model'!$N$44</f>
        <v/>
      </c>
      <c r="W18" s="27">
        <f>'Model'!$O$44</f>
        <v/>
      </c>
      <c r="X18" s="27">
        <f>'Model'!$P$44</f>
        <v/>
      </c>
      <c r="Y18" s="27">
        <f>'Model'!$Q$44</f>
        <v/>
      </c>
      <c r="Z18" s="27">
        <f>'Model'!$R$44</f>
        <v/>
      </c>
      <c r="AA18" s="27">
        <f>'Model'!$S$44</f>
        <v/>
      </c>
      <c r="AB18" s="27">
        <f>'Model'!$T$44</f>
        <v/>
      </c>
      <c r="AC18" s="27">
        <f>'Model'!$U$44</f>
        <v/>
      </c>
      <c r="AD18" s="27">
        <f>'Model'!$V$44</f>
        <v/>
      </c>
      <c r="AE18" s="27">
        <f>'Model'!$W$44</f>
        <v/>
      </c>
      <c r="AF18" s="27">
        <f>'Model'!$X$44</f>
        <v/>
      </c>
      <c r="AG18" s="27">
        <f>'Model'!$Y$44</f>
        <v/>
      </c>
      <c r="AH18" s="27">
        <f>'Model'!$Z$44</f>
        <v/>
      </c>
      <c r="AI18" s="27">
        <f>'Model'!$AA$44</f>
        <v/>
      </c>
      <c r="AJ18" s="27">
        <f>'Model'!$AB$44</f>
        <v/>
      </c>
      <c r="AK18" s="27">
        <f>'Model'!$AC$44</f>
        <v/>
      </c>
      <c r="AL18" s="27">
        <f>'Model'!$AD$44</f>
        <v/>
      </c>
      <c r="AM18" s="27">
        <f>'Model'!$AE$44</f>
        <v/>
      </c>
      <c r="AN18" s="27">
        <f>'Model'!$AF$44</f>
        <v/>
      </c>
      <c r="AO18" s="27">
        <f>'Model'!$AG$44</f>
        <v/>
      </c>
      <c r="AP18" s="27">
        <f>'Model'!$AH$44</f>
        <v/>
      </c>
      <c r="AQ18" s="27">
        <f>'Model'!$AI$44</f>
        <v/>
      </c>
    </row>
    <row r="19">
      <c r="B19" s="28" t="inlineStr">
        <is>
          <t>Gross Profit</t>
        </is>
      </c>
      <c r="C19" s="29">
        <f>SUM(L19:O19)</f>
        <v/>
      </c>
      <c r="D19" s="29">
        <f>SUM(P19:S19)</f>
        <v/>
      </c>
      <c r="E19" s="29">
        <f>SUM(T19:W19)</f>
        <v/>
      </c>
      <c r="F19" s="29">
        <f>SUM(X19:AA19)</f>
        <v/>
      </c>
      <c r="G19" s="29">
        <f>SUM(AB19:AE19)</f>
        <v/>
      </c>
      <c r="H19" s="29">
        <f>SUM(AF19:AI19)</f>
        <v/>
      </c>
      <c r="I19" s="29">
        <f>SUM(AJ19:AM19)</f>
        <v/>
      </c>
      <c r="J19" s="29">
        <f>SUM(AN19:AQ19)</f>
        <v/>
      </c>
      <c r="L19" s="29">
        <f>'Model'!$D$46</f>
        <v/>
      </c>
      <c r="M19" s="29">
        <f>'Model'!$E$46</f>
        <v/>
      </c>
      <c r="N19" s="29">
        <f>'Model'!$F$46</f>
        <v/>
      </c>
      <c r="O19" s="29">
        <f>'Model'!$G$46</f>
        <v/>
      </c>
      <c r="P19" s="29">
        <f>'Model'!$H$46</f>
        <v/>
      </c>
      <c r="Q19" s="29">
        <f>'Model'!$I$46</f>
        <v/>
      </c>
      <c r="R19" s="29">
        <f>'Model'!$J$46</f>
        <v/>
      </c>
      <c r="S19" s="29">
        <f>'Model'!$K$46</f>
        <v/>
      </c>
      <c r="T19" s="29">
        <f>'Model'!$L$46</f>
        <v/>
      </c>
      <c r="U19" s="29">
        <f>'Model'!$M$46</f>
        <v/>
      </c>
      <c r="V19" s="29">
        <f>'Model'!$N$46</f>
        <v/>
      </c>
      <c r="W19" s="29">
        <f>'Model'!$O$46</f>
        <v/>
      </c>
      <c r="X19" s="29">
        <f>'Model'!$P$46</f>
        <v/>
      </c>
      <c r="Y19" s="29">
        <f>'Model'!$Q$46</f>
        <v/>
      </c>
      <c r="Z19" s="29">
        <f>'Model'!$R$46</f>
        <v/>
      </c>
      <c r="AA19" s="29">
        <f>'Model'!$S$46</f>
        <v/>
      </c>
      <c r="AB19" s="29">
        <f>'Model'!$T$46</f>
        <v/>
      </c>
      <c r="AC19" s="29">
        <f>'Model'!$U$46</f>
        <v/>
      </c>
      <c r="AD19" s="29">
        <f>'Model'!$V$46</f>
        <v/>
      </c>
      <c r="AE19" s="29">
        <f>'Model'!$W$46</f>
        <v/>
      </c>
      <c r="AF19" s="29">
        <f>'Model'!$X$46</f>
        <v/>
      </c>
      <c r="AG19" s="29">
        <f>'Model'!$Y$46</f>
        <v/>
      </c>
      <c r="AH19" s="29">
        <f>'Model'!$Z$46</f>
        <v/>
      </c>
      <c r="AI19" s="29">
        <f>'Model'!$AA$46</f>
        <v/>
      </c>
      <c r="AJ19" s="29">
        <f>'Model'!$AB$46</f>
        <v/>
      </c>
      <c r="AK19" s="29">
        <f>'Model'!$AC$46</f>
        <v/>
      </c>
      <c r="AL19" s="29">
        <f>'Model'!$AD$46</f>
        <v/>
      </c>
      <c r="AM19" s="29">
        <f>'Model'!$AE$46</f>
        <v/>
      </c>
      <c r="AN19" s="29">
        <f>'Model'!$AF$46</f>
        <v/>
      </c>
      <c r="AO19" s="29">
        <f>'Model'!$AG$46</f>
        <v/>
      </c>
      <c r="AP19" s="29">
        <f>'Model'!$AH$46</f>
        <v/>
      </c>
      <c r="AQ19" s="29">
        <f>'Model'!$AI$46</f>
        <v/>
      </c>
    </row>
    <row r="20">
      <c r="B20" s="31" t="inlineStr">
        <is>
          <t>Margin %</t>
        </is>
      </c>
      <c r="C20" s="32">
        <f>IFERROR(C19/C15,"")</f>
        <v/>
      </c>
      <c r="D20" s="32">
        <f>IFERROR(D19/D15,"")</f>
        <v/>
      </c>
      <c r="E20" s="32">
        <f>IFERROR(E19/E15,"")</f>
        <v/>
      </c>
      <c r="F20" s="32">
        <f>IFERROR(F19/F15,"")</f>
        <v/>
      </c>
      <c r="G20" s="32">
        <f>IFERROR(G19/G15,"")</f>
        <v/>
      </c>
      <c r="H20" s="32">
        <f>IFERROR(H19/H15,"")</f>
        <v/>
      </c>
      <c r="I20" s="32">
        <f>IFERROR(I19/I15,"")</f>
        <v/>
      </c>
      <c r="J20" s="32">
        <f>IFERROR(J19/J15,"")</f>
        <v/>
      </c>
      <c r="L20" s="32">
        <f>IFERROR('Model'!$D$46 / 'Model'!$D$31, "")</f>
        <v/>
      </c>
      <c r="M20" s="32">
        <f>IFERROR('Model'!$E$46 / 'Model'!$E$31, "")</f>
        <v/>
      </c>
      <c r="N20" s="32">
        <f>IFERROR('Model'!$F$46 / 'Model'!$F$31, "")</f>
        <v/>
      </c>
      <c r="O20" s="32">
        <f>IFERROR('Model'!$G$46 / 'Model'!$G$31, "")</f>
        <v/>
      </c>
      <c r="P20" s="32">
        <f>IFERROR('Model'!$H$46 / 'Model'!$H$31, "")</f>
        <v/>
      </c>
      <c r="Q20" s="32">
        <f>IFERROR('Model'!$I$46 / 'Model'!$I$31, "")</f>
        <v/>
      </c>
      <c r="R20" s="32">
        <f>IFERROR('Model'!$J$46 / 'Model'!$J$31, "")</f>
        <v/>
      </c>
      <c r="S20" s="32">
        <f>IFERROR('Model'!$K$46 / 'Model'!$K$31, "")</f>
        <v/>
      </c>
      <c r="T20" s="32">
        <f>IFERROR('Model'!$L$46 / 'Model'!$L$31, "")</f>
        <v/>
      </c>
      <c r="U20" s="32">
        <f>IFERROR('Model'!$M$46 / 'Model'!$M$31, "")</f>
        <v/>
      </c>
      <c r="V20" s="32">
        <f>IFERROR('Model'!$N$46 / 'Model'!$N$31, "")</f>
        <v/>
      </c>
      <c r="W20" s="32">
        <f>IFERROR('Model'!$O$46 / 'Model'!$O$31, "")</f>
        <v/>
      </c>
      <c r="X20" s="32">
        <f>IFERROR('Model'!$P$46 / 'Model'!$P$31, "")</f>
        <v/>
      </c>
      <c r="Y20" s="32">
        <f>IFERROR('Model'!$Q$46 / 'Model'!$Q$31, "")</f>
        <v/>
      </c>
      <c r="Z20" s="32">
        <f>IFERROR('Model'!$R$46 / 'Model'!$R$31, "")</f>
        <v/>
      </c>
      <c r="AA20" s="32">
        <f>IFERROR('Model'!$S$46 / 'Model'!$S$31, "")</f>
        <v/>
      </c>
      <c r="AB20" s="32">
        <f>IFERROR('Model'!$T$46 / 'Model'!$T$31, "")</f>
        <v/>
      </c>
      <c r="AC20" s="32">
        <f>IFERROR('Model'!$U$46 / 'Model'!$U$31, "")</f>
        <v/>
      </c>
      <c r="AD20" s="32">
        <f>IFERROR('Model'!$V$46 / 'Model'!$V$31, "")</f>
        <v/>
      </c>
      <c r="AE20" s="32">
        <f>IFERROR('Model'!$W$46 / 'Model'!$W$31, "")</f>
        <v/>
      </c>
      <c r="AF20" s="32">
        <f>IFERROR('Model'!$X$46 / 'Model'!$X$31, "")</f>
        <v/>
      </c>
      <c r="AG20" s="32">
        <f>IFERROR('Model'!$Y$46 / 'Model'!$Y$31, "")</f>
        <v/>
      </c>
      <c r="AH20" s="32">
        <f>IFERROR('Model'!$Z$46 / 'Model'!$Z$31, "")</f>
        <v/>
      </c>
      <c r="AI20" s="32">
        <f>IFERROR('Model'!$AA$46 / 'Model'!$AA$31, "")</f>
        <v/>
      </c>
      <c r="AJ20" s="32">
        <f>IFERROR('Model'!$AB$46 / 'Model'!$AB$31, "")</f>
        <v/>
      </c>
      <c r="AK20" s="32">
        <f>IFERROR('Model'!$AC$46 / 'Model'!$AC$31, "")</f>
        <v/>
      </c>
      <c r="AL20" s="32">
        <f>IFERROR('Model'!$AD$46 / 'Model'!$AD$31, "")</f>
        <v/>
      </c>
      <c r="AM20" s="32">
        <f>IFERROR('Model'!$AE$46 / 'Model'!$AE$31, "")</f>
        <v/>
      </c>
      <c r="AN20" s="32">
        <f>IFERROR('Model'!$AF$46 / 'Model'!$AF$31, "")</f>
        <v/>
      </c>
      <c r="AO20" s="32">
        <f>IFERROR('Model'!$AG$46 / 'Model'!$AG$31, "")</f>
        <v/>
      </c>
      <c r="AP20" s="32">
        <f>IFERROR('Model'!$AH$46 / 'Model'!$AH$31, "")</f>
        <v/>
      </c>
      <c r="AQ20" s="32">
        <f>IFERROR('Model'!$AI$46 / 'Model'!$AI$31, "")</f>
        <v/>
      </c>
    </row>
    <row r="21" ht="6" customHeight="1"/>
    <row r="22">
      <c r="B22" s="26" t="inlineStr">
        <is>
          <t>Fixed-Price Gross Margin (implied)</t>
        </is>
      </c>
      <c r="C22" s="19">
        <f>AVERAGE(L22:O22)</f>
        <v/>
      </c>
      <c r="D22" s="19">
        <f>AVERAGE(P22:S22)</f>
        <v/>
      </c>
      <c r="E22" s="19">
        <f>AVERAGE(T22:W22)</f>
        <v/>
      </c>
      <c r="F22" s="19">
        <f>AVERAGE(X22:AA22)</f>
        <v/>
      </c>
      <c r="G22" s="19">
        <f>AVERAGE(AB22:AE22)</f>
        <v/>
      </c>
      <c r="H22" s="19">
        <f>AVERAGE(AF22:AI22)</f>
        <v/>
      </c>
      <c r="I22" s="19">
        <f>AVERAGE(AJ22:AM22)</f>
        <v/>
      </c>
      <c r="J22" s="19">
        <f>AVERAGE(AN22:AQ22)</f>
        <v/>
      </c>
      <c r="L22" s="19">
        <f>'Model'!$D$41</f>
        <v/>
      </c>
      <c r="M22" s="19">
        <f>'Model'!$E$41</f>
        <v/>
      </c>
      <c r="N22" s="19">
        <f>'Model'!$F$41</f>
        <v/>
      </c>
      <c r="O22" s="19">
        <f>'Model'!$G$41</f>
        <v/>
      </c>
      <c r="P22" s="19">
        <f>'Model'!$H$41</f>
        <v/>
      </c>
      <c r="Q22" s="19">
        <f>'Model'!$I$41</f>
        <v/>
      </c>
      <c r="R22" s="19">
        <f>'Model'!$J$41</f>
        <v/>
      </c>
      <c r="S22" s="19">
        <f>'Model'!$K$41</f>
        <v/>
      </c>
      <c r="T22" s="19">
        <f>'Model'!$L$41</f>
        <v/>
      </c>
      <c r="U22" s="19">
        <f>'Model'!$M$41</f>
        <v/>
      </c>
      <c r="V22" s="19">
        <f>'Model'!$N$41</f>
        <v/>
      </c>
      <c r="W22" s="19">
        <f>'Model'!$O$41</f>
        <v/>
      </c>
      <c r="X22" s="19">
        <f>'Model'!$P$41</f>
        <v/>
      </c>
      <c r="Y22" s="19">
        <f>'Model'!$Q$41</f>
        <v/>
      </c>
      <c r="Z22" s="19">
        <f>'Model'!$R$41</f>
        <v/>
      </c>
      <c r="AA22" s="19">
        <f>'Model'!$S$41</f>
        <v/>
      </c>
      <c r="AB22" s="19">
        <f>'Model'!$T$41</f>
        <v/>
      </c>
      <c r="AC22" s="19">
        <f>'Model'!$U$41</f>
        <v/>
      </c>
      <c r="AD22" s="19">
        <f>'Model'!$V$41</f>
        <v/>
      </c>
      <c r="AE22" s="19">
        <f>'Model'!$W$41</f>
        <v/>
      </c>
      <c r="AF22" s="19">
        <f>'Model'!$X$41</f>
        <v/>
      </c>
      <c r="AG22" s="19">
        <f>'Model'!$Y$41</f>
        <v/>
      </c>
      <c r="AH22" s="19">
        <f>'Model'!$Z$41</f>
        <v/>
      </c>
      <c r="AI22" s="19">
        <f>'Model'!$AA$41</f>
        <v/>
      </c>
      <c r="AJ22" s="19">
        <f>'Model'!$AB$41</f>
        <v/>
      </c>
      <c r="AK22" s="19">
        <f>'Model'!$AC$41</f>
        <v/>
      </c>
      <c r="AL22" s="19">
        <f>'Model'!$AD$41</f>
        <v/>
      </c>
      <c r="AM22" s="19">
        <f>'Model'!$AE$41</f>
        <v/>
      </c>
      <c r="AN22" s="19">
        <f>'Model'!$AF$41</f>
        <v/>
      </c>
      <c r="AO22" s="19">
        <f>'Model'!$AG$41</f>
        <v/>
      </c>
      <c r="AP22" s="19">
        <f>'Model'!$AH$41</f>
        <v/>
      </c>
      <c r="AQ22" s="19">
        <f>'Model'!$AI$41</f>
        <v/>
      </c>
    </row>
    <row r="23">
      <c r="B23" s="26" t="inlineStr">
        <is>
          <t>Total Operating Expenses (ex D&amp;A)</t>
        </is>
      </c>
      <c r="C23" s="27">
        <f>SUM(L23:O23)</f>
        <v/>
      </c>
      <c r="D23" s="27">
        <f>SUM(P23:S23)</f>
        <v/>
      </c>
      <c r="E23" s="27">
        <f>SUM(T23:W23)</f>
        <v/>
      </c>
      <c r="F23" s="27">
        <f>SUM(X23:AA23)</f>
        <v/>
      </c>
      <c r="G23" s="27">
        <f>SUM(AB23:AE23)</f>
        <v/>
      </c>
      <c r="H23" s="27">
        <f>SUM(AF23:AI23)</f>
        <v/>
      </c>
      <c r="I23" s="27">
        <f>SUM(AJ23:AM23)</f>
        <v/>
      </c>
      <c r="J23" s="27">
        <f>SUM(AN23:AQ23)</f>
        <v/>
      </c>
      <c r="L23" s="27">
        <f>'Model'!$D$54</f>
        <v/>
      </c>
      <c r="M23" s="27">
        <f>'Model'!$E$54</f>
        <v/>
      </c>
      <c r="N23" s="27">
        <f>'Model'!$F$54</f>
        <v/>
      </c>
      <c r="O23" s="27">
        <f>'Model'!$G$54</f>
        <v/>
      </c>
      <c r="P23" s="27">
        <f>'Model'!$H$54</f>
        <v/>
      </c>
      <c r="Q23" s="27">
        <f>'Model'!$I$54</f>
        <v/>
      </c>
      <c r="R23" s="27">
        <f>'Model'!$J$54</f>
        <v/>
      </c>
      <c r="S23" s="27">
        <f>'Model'!$K$54</f>
        <v/>
      </c>
      <c r="T23" s="27">
        <f>'Model'!$L$54</f>
        <v/>
      </c>
      <c r="U23" s="27">
        <f>'Model'!$M$54</f>
        <v/>
      </c>
      <c r="V23" s="27">
        <f>'Model'!$N$54</f>
        <v/>
      </c>
      <c r="W23" s="27">
        <f>'Model'!$O$54</f>
        <v/>
      </c>
      <c r="X23" s="27">
        <f>'Model'!$P$54</f>
        <v/>
      </c>
      <c r="Y23" s="27">
        <f>'Model'!$Q$54</f>
        <v/>
      </c>
      <c r="Z23" s="27">
        <f>'Model'!$R$54</f>
        <v/>
      </c>
      <c r="AA23" s="27">
        <f>'Model'!$S$54</f>
        <v/>
      </c>
      <c r="AB23" s="27">
        <f>'Model'!$T$54</f>
        <v/>
      </c>
      <c r="AC23" s="27">
        <f>'Model'!$U$54</f>
        <v/>
      </c>
      <c r="AD23" s="27">
        <f>'Model'!$V$54</f>
        <v/>
      </c>
      <c r="AE23" s="27">
        <f>'Model'!$W$54</f>
        <v/>
      </c>
      <c r="AF23" s="27">
        <f>'Model'!$X$54</f>
        <v/>
      </c>
      <c r="AG23" s="27">
        <f>'Model'!$Y$54</f>
        <v/>
      </c>
      <c r="AH23" s="27">
        <f>'Model'!$Z$54</f>
        <v/>
      </c>
      <c r="AI23" s="27">
        <f>'Model'!$AA$54</f>
        <v/>
      </c>
      <c r="AJ23" s="27">
        <f>'Model'!$AB$54</f>
        <v/>
      </c>
      <c r="AK23" s="27">
        <f>'Model'!$AC$54</f>
        <v/>
      </c>
      <c r="AL23" s="27">
        <f>'Model'!$AD$54</f>
        <v/>
      </c>
      <c r="AM23" s="27">
        <f>'Model'!$AE$54</f>
        <v/>
      </c>
      <c r="AN23" s="27">
        <f>'Model'!$AF$54</f>
        <v/>
      </c>
      <c r="AO23" s="27">
        <f>'Model'!$AG$54</f>
        <v/>
      </c>
      <c r="AP23" s="27">
        <f>'Model'!$AH$54</f>
        <v/>
      </c>
      <c r="AQ23" s="27">
        <f>'Model'!$AI$54</f>
        <v/>
      </c>
    </row>
    <row r="24">
      <c r="B24" s="28" t="inlineStr">
        <is>
          <t>EBITDA</t>
        </is>
      </c>
      <c r="C24" s="29">
        <f>SUM(L24:O24)</f>
        <v/>
      </c>
      <c r="D24" s="29">
        <f>SUM(P24:S24)</f>
        <v/>
      </c>
      <c r="E24" s="29">
        <f>SUM(T24:W24)</f>
        <v/>
      </c>
      <c r="F24" s="29">
        <f>SUM(X24:AA24)</f>
        <v/>
      </c>
      <c r="G24" s="29">
        <f>SUM(AB24:AE24)</f>
        <v/>
      </c>
      <c r="H24" s="29">
        <f>SUM(AF24:AI24)</f>
        <v/>
      </c>
      <c r="I24" s="29">
        <f>SUM(AJ24:AM24)</f>
        <v/>
      </c>
      <c r="J24" s="29">
        <f>SUM(AN24:AQ24)</f>
        <v/>
      </c>
      <c r="L24" s="29">
        <f>'Model'!$D$56</f>
        <v/>
      </c>
      <c r="M24" s="29">
        <f>'Model'!$E$56</f>
        <v/>
      </c>
      <c r="N24" s="29">
        <f>'Model'!$F$56</f>
        <v/>
      </c>
      <c r="O24" s="29">
        <f>'Model'!$G$56</f>
        <v/>
      </c>
      <c r="P24" s="29">
        <f>'Model'!$H$56</f>
        <v/>
      </c>
      <c r="Q24" s="29">
        <f>'Model'!$I$56</f>
        <v/>
      </c>
      <c r="R24" s="29">
        <f>'Model'!$J$56</f>
        <v/>
      </c>
      <c r="S24" s="29">
        <f>'Model'!$K$56</f>
        <v/>
      </c>
      <c r="T24" s="29">
        <f>'Model'!$L$56</f>
        <v/>
      </c>
      <c r="U24" s="29">
        <f>'Model'!$M$56</f>
        <v/>
      </c>
      <c r="V24" s="29">
        <f>'Model'!$N$56</f>
        <v/>
      </c>
      <c r="W24" s="29">
        <f>'Model'!$O$56</f>
        <v/>
      </c>
      <c r="X24" s="29">
        <f>'Model'!$P$56</f>
        <v/>
      </c>
      <c r="Y24" s="29">
        <f>'Model'!$Q$56</f>
        <v/>
      </c>
      <c r="Z24" s="29">
        <f>'Model'!$R$56</f>
        <v/>
      </c>
      <c r="AA24" s="29">
        <f>'Model'!$S$56</f>
        <v/>
      </c>
      <c r="AB24" s="29">
        <f>'Model'!$T$56</f>
        <v/>
      </c>
      <c r="AC24" s="29">
        <f>'Model'!$U$56</f>
        <v/>
      </c>
      <c r="AD24" s="29">
        <f>'Model'!$V$56</f>
        <v/>
      </c>
      <c r="AE24" s="29">
        <f>'Model'!$W$56</f>
        <v/>
      </c>
      <c r="AF24" s="29">
        <f>'Model'!$X$56</f>
        <v/>
      </c>
      <c r="AG24" s="29">
        <f>'Model'!$Y$56</f>
        <v/>
      </c>
      <c r="AH24" s="29">
        <f>'Model'!$Z$56</f>
        <v/>
      </c>
      <c r="AI24" s="29">
        <f>'Model'!$AA$56</f>
        <v/>
      </c>
      <c r="AJ24" s="29">
        <f>'Model'!$AB$56</f>
        <v/>
      </c>
      <c r="AK24" s="29">
        <f>'Model'!$AC$56</f>
        <v/>
      </c>
      <c r="AL24" s="29">
        <f>'Model'!$AD$56</f>
        <v/>
      </c>
      <c r="AM24" s="29">
        <f>'Model'!$AE$56</f>
        <v/>
      </c>
      <c r="AN24" s="29">
        <f>'Model'!$AF$56</f>
        <v/>
      </c>
      <c r="AO24" s="29">
        <f>'Model'!$AG$56</f>
        <v/>
      </c>
      <c r="AP24" s="29">
        <f>'Model'!$AH$56</f>
        <v/>
      </c>
      <c r="AQ24" s="29">
        <f>'Model'!$AI$56</f>
        <v/>
      </c>
    </row>
    <row r="25">
      <c r="B25" s="31" t="inlineStr">
        <is>
          <t>Margin %</t>
        </is>
      </c>
      <c r="C25" s="32">
        <f>IFERROR(C24/C15,"")</f>
        <v/>
      </c>
      <c r="D25" s="32">
        <f>IFERROR(D24/D15,"")</f>
        <v/>
      </c>
      <c r="E25" s="32">
        <f>IFERROR(E24/E15,"")</f>
        <v/>
      </c>
      <c r="F25" s="32">
        <f>IFERROR(F24/F15,"")</f>
        <v/>
      </c>
      <c r="G25" s="32">
        <f>IFERROR(G24/G15,"")</f>
        <v/>
      </c>
      <c r="H25" s="32">
        <f>IFERROR(H24/H15,"")</f>
        <v/>
      </c>
      <c r="I25" s="32">
        <f>IFERROR(I24/I15,"")</f>
        <v/>
      </c>
      <c r="J25" s="32">
        <f>IFERROR(J24/J15,"")</f>
        <v/>
      </c>
      <c r="L25" s="32">
        <f>IFERROR('Model'!$D$56 / 'Model'!$D$31, "")</f>
        <v/>
      </c>
      <c r="M25" s="32">
        <f>IFERROR('Model'!$E$56 / 'Model'!$E$31, "")</f>
        <v/>
      </c>
      <c r="N25" s="32">
        <f>IFERROR('Model'!$F$56 / 'Model'!$F$31, "")</f>
        <v/>
      </c>
      <c r="O25" s="32">
        <f>IFERROR('Model'!$G$56 / 'Model'!$G$31, "")</f>
        <v/>
      </c>
      <c r="P25" s="32">
        <f>IFERROR('Model'!$H$56 / 'Model'!$H$31, "")</f>
        <v/>
      </c>
      <c r="Q25" s="32">
        <f>IFERROR('Model'!$I$56 / 'Model'!$I$31, "")</f>
        <v/>
      </c>
      <c r="R25" s="32">
        <f>IFERROR('Model'!$J$56 / 'Model'!$J$31, "")</f>
        <v/>
      </c>
      <c r="S25" s="32">
        <f>IFERROR('Model'!$K$56 / 'Model'!$K$31, "")</f>
        <v/>
      </c>
      <c r="T25" s="32">
        <f>IFERROR('Model'!$L$56 / 'Model'!$L$31, "")</f>
        <v/>
      </c>
      <c r="U25" s="32">
        <f>IFERROR('Model'!$M$56 / 'Model'!$M$31, "")</f>
        <v/>
      </c>
      <c r="V25" s="32">
        <f>IFERROR('Model'!$N$56 / 'Model'!$N$31, "")</f>
        <v/>
      </c>
      <c r="W25" s="32">
        <f>IFERROR('Model'!$O$56 / 'Model'!$O$31, "")</f>
        <v/>
      </c>
      <c r="X25" s="32">
        <f>IFERROR('Model'!$P$56 / 'Model'!$P$31, "")</f>
        <v/>
      </c>
      <c r="Y25" s="32">
        <f>IFERROR('Model'!$Q$56 / 'Model'!$Q$31, "")</f>
        <v/>
      </c>
      <c r="Z25" s="32">
        <f>IFERROR('Model'!$R$56 / 'Model'!$R$31, "")</f>
        <v/>
      </c>
      <c r="AA25" s="32">
        <f>IFERROR('Model'!$S$56 / 'Model'!$S$31, "")</f>
        <v/>
      </c>
      <c r="AB25" s="32">
        <f>IFERROR('Model'!$T$56 / 'Model'!$T$31, "")</f>
        <v/>
      </c>
      <c r="AC25" s="32">
        <f>IFERROR('Model'!$U$56 / 'Model'!$U$31, "")</f>
        <v/>
      </c>
      <c r="AD25" s="32">
        <f>IFERROR('Model'!$V$56 / 'Model'!$V$31, "")</f>
        <v/>
      </c>
      <c r="AE25" s="32">
        <f>IFERROR('Model'!$W$56 / 'Model'!$W$31, "")</f>
        <v/>
      </c>
      <c r="AF25" s="32">
        <f>IFERROR('Model'!$X$56 / 'Model'!$X$31, "")</f>
        <v/>
      </c>
      <c r="AG25" s="32">
        <f>IFERROR('Model'!$Y$56 / 'Model'!$Y$31, "")</f>
        <v/>
      </c>
      <c r="AH25" s="32">
        <f>IFERROR('Model'!$Z$56 / 'Model'!$Z$31, "")</f>
        <v/>
      </c>
      <c r="AI25" s="32">
        <f>IFERROR('Model'!$AA$56 / 'Model'!$AA$31, "")</f>
        <v/>
      </c>
      <c r="AJ25" s="32">
        <f>IFERROR('Model'!$AB$56 / 'Model'!$AB$31, "")</f>
        <v/>
      </c>
      <c r="AK25" s="32">
        <f>IFERROR('Model'!$AC$56 / 'Model'!$AC$31, "")</f>
        <v/>
      </c>
      <c r="AL25" s="32">
        <f>IFERROR('Model'!$AD$56 / 'Model'!$AD$31, "")</f>
        <v/>
      </c>
      <c r="AM25" s="32">
        <f>IFERROR('Model'!$AE$56 / 'Model'!$AE$31, "")</f>
        <v/>
      </c>
      <c r="AN25" s="32">
        <f>IFERROR('Model'!$AF$56 / 'Model'!$AF$31, "")</f>
        <v/>
      </c>
      <c r="AO25" s="32">
        <f>IFERROR('Model'!$AG$56 / 'Model'!$AG$31, "")</f>
        <v/>
      </c>
      <c r="AP25" s="32">
        <f>IFERROR('Model'!$AH$56 / 'Model'!$AH$31, "")</f>
        <v/>
      </c>
      <c r="AQ25" s="32">
        <f>IFERROR('Model'!$AI$56 / 'Model'!$AI$31, "")</f>
        <v/>
      </c>
    </row>
    <row r="26" ht="6" customHeight="1"/>
    <row r="27">
      <c r="B27" s="28" t="inlineStr">
        <is>
          <t>Net Income</t>
        </is>
      </c>
      <c r="C27" s="29">
        <f>SUM(L27:O27)</f>
        <v/>
      </c>
      <c r="D27" s="29">
        <f>SUM(P27:S27)</f>
        <v/>
      </c>
      <c r="E27" s="29">
        <f>SUM(T27:W27)</f>
        <v/>
      </c>
      <c r="F27" s="29">
        <f>SUM(X27:AA27)</f>
        <v/>
      </c>
      <c r="G27" s="29">
        <f>SUM(AB27:AE27)</f>
        <v/>
      </c>
      <c r="H27" s="29">
        <f>SUM(AF27:AI27)</f>
        <v/>
      </c>
      <c r="I27" s="29">
        <f>SUM(AJ27:AM27)</f>
        <v/>
      </c>
      <c r="J27" s="29">
        <f>SUM(AN27:AQ27)</f>
        <v/>
      </c>
      <c r="L27" s="29">
        <f>'Model'!$D$62</f>
        <v/>
      </c>
      <c r="M27" s="29">
        <f>'Model'!$E$62</f>
        <v/>
      </c>
      <c r="N27" s="29">
        <f>'Model'!$F$62</f>
        <v/>
      </c>
      <c r="O27" s="29">
        <f>'Model'!$G$62</f>
        <v/>
      </c>
      <c r="P27" s="29">
        <f>'Model'!$H$62</f>
        <v/>
      </c>
      <c r="Q27" s="29">
        <f>'Model'!$I$62</f>
        <v/>
      </c>
      <c r="R27" s="29">
        <f>'Model'!$J$62</f>
        <v/>
      </c>
      <c r="S27" s="29">
        <f>'Model'!$K$62</f>
        <v/>
      </c>
      <c r="T27" s="29">
        <f>'Model'!$L$62</f>
        <v/>
      </c>
      <c r="U27" s="29">
        <f>'Model'!$M$62</f>
        <v/>
      </c>
      <c r="V27" s="29">
        <f>'Model'!$N$62</f>
        <v/>
      </c>
      <c r="W27" s="29">
        <f>'Model'!$O$62</f>
        <v/>
      </c>
      <c r="X27" s="29">
        <f>'Model'!$P$62</f>
        <v/>
      </c>
      <c r="Y27" s="29">
        <f>'Model'!$Q$62</f>
        <v/>
      </c>
      <c r="Z27" s="29">
        <f>'Model'!$R$62</f>
        <v/>
      </c>
      <c r="AA27" s="29">
        <f>'Model'!$S$62</f>
        <v/>
      </c>
      <c r="AB27" s="29">
        <f>'Model'!$T$62</f>
        <v/>
      </c>
      <c r="AC27" s="29">
        <f>'Model'!$U$62</f>
        <v/>
      </c>
      <c r="AD27" s="29">
        <f>'Model'!$V$62</f>
        <v/>
      </c>
      <c r="AE27" s="29">
        <f>'Model'!$W$62</f>
        <v/>
      </c>
      <c r="AF27" s="29">
        <f>'Model'!$X$62</f>
        <v/>
      </c>
      <c r="AG27" s="29">
        <f>'Model'!$Y$62</f>
        <v/>
      </c>
      <c r="AH27" s="29">
        <f>'Model'!$Z$62</f>
        <v/>
      </c>
      <c r="AI27" s="29">
        <f>'Model'!$AA$62</f>
        <v/>
      </c>
      <c r="AJ27" s="29">
        <f>'Model'!$AB$62</f>
        <v/>
      </c>
      <c r="AK27" s="29">
        <f>'Model'!$AC$62</f>
        <v/>
      </c>
      <c r="AL27" s="29">
        <f>'Model'!$AD$62</f>
        <v/>
      </c>
      <c r="AM27" s="29">
        <f>'Model'!$AE$62</f>
        <v/>
      </c>
      <c r="AN27" s="29">
        <f>'Model'!$AF$62</f>
        <v/>
      </c>
      <c r="AO27" s="29">
        <f>'Model'!$AG$62</f>
        <v/>
      </c>
      <c r="AP27" s="29">
        <f>'Model'!$AH$62</f>
        <v/>
      </c>
      <c r="AQ27" s="29">
        <f>'Model'!$AI$62</f>
        <v/>
      </c>
    </row>
    <row r="28">
      <c r="B28" s="33" t="inlineStr">
        <is>
          <t>Margin %</t>
        </is>
      </c>
      <c r="C28" s="34">
        <f>IFERROR(C27/C15,"")</f>
        <v/>
      </c>
      <c r="D28" s="34">
        <f>IFERROR(D27/D15,"")</f>
        <v/>
      </c>
      <c r="E28" s="34">
        <f>IFERROR(E27/E15,"")</f>
        <v/>
      </c>
      <c r="F28" s="34">
        <f>IFERROR(F27/F15,"")</f>
        <v/>
      </c>
      <c r="G28" s="34">
        <f>IFERROR(G27/G15,"")</f>
        <v/>
      </c>
      <c r="H28" s="34">
        <f>IFERROR(H27/H15,"")</f>
        <v/>
      </c>
      <c r="I28" s="34">
        <f>IFERROR(I27/I15,"")</f>
        <v/>
      </c>
      <c r="J28" s="34">
        <f>IFERROR(J27/J15,"")</f>
        <v/>
      </c>
      <c r="L28" s="34">
        <f>IFERROR('Model'!$D$62 / 'Model'!$D$31, "")</f>
        <v/>
      </c>
      <c r="M28" s="34">
        <f>IFERROR('Model'!$E$62 / 'Model'!$E$31, "")</f>
        <v/>
      </c>
      <c r="N28" s="34">
        <f>IFERROR('Model'!$F$62 / 'Model'!$F$31, "")</f>
        <v/>
      </c>
      <c r="O28" s="34">
        <f>IFERROR('Model'!$G$62 / 'Model'!$G$31, "")</f>
        <v/>
      </c>
      <c r="P28" s="34">
        <f>IFERROR('Model'!$H$62 / 'Model'!$H$31, "")</f>
        <v/>
      </c>
      <c r="Q28" s="34">
        <f>IFERROR('Model'!$I$62 / 'Model'!$I$31, "")</f>
        <v/>
      </c>
      <c r="R28" s="34">
        <f>IFERROR('Model'!$J$62 / 'Model'!$J$31, "")</f>
        <v/>
      </c>
      <c r="S28" s="34">
        <f>IFERROR('Model'!$K$62 / 'Model'!$K$31, "")</f>
        <v/>
      </c>
      <c r="T28" s="34">
        <f>IFERROR('Model'!$L$62 / 'Model'!$L$31, "")</f>
        <v/>
      </c>
      <c r="U28" s="34">
        <f>IFERROR('Model'!$M$62 / 'Model'!$M$31, "")</f>
        <v/>
      </c>
      <c r="V28" s="34">
        <f>IFERROR('Model'!$N$62 / 'Model'!$N$31, "")</f>
        <v/>
      </c>
      <c r="W28" s="34">
        <f>IFERROR('Model'!$O$62 / 'Model'!$O$31, "")</f>
        <v/>
      </c>
      <c r="X28" s="34">
        <f>IFERROR('Model'!$P$62 / 'Model'!$P$31, "")</f>
        <v/>
      </c>
      <c r="Y28" s="34">
        <f>IFERROR('Model'!$Q$62 / 'Model'!$Q$31, "")</f>
        <v/>
      </c>
      <c r="Z28" s="34">
        <f>IFERROR('Model'!$R$62 / 'Model'!$R$31, "")</f>
        <v/>
      </c>
      <c r="AA28" s="34">
        <f>IFERROR('Model'!$S$62 / 'Model'!$S$31, "")</f>
        <v/>
      </c>
      <c r="AB28" s="34">
        <f>IFERROR('Model'!$T$62 / 'Model'!$T$31, "")</f>
        <v/>
      </c>
      <c r="AC28" s="34">
        <f>IFERROR('Model'!$U$62 / 'Model'!$U$31, "")</f>
        <v/>
      </c>
      <c r="AD28" s="34">
        <f>IFERROR('Model'!$V$62 / 'Model'!$V$31, "")</f>
        <v/>
      </c>
      <c r="AE28" s="34">
        <f>IFERROR('Model'!$W$62 / 'Model'!$W$31, "")</f>
        <v/>
      </c>
      <c r="AF28" s="34">
        <f>IFERROR('Model'!$X$62 / 'Model'!$X$31, "")</f>
        <v/>
      </c>
      <c r="AG28" s="34">
        <f>IFERROR('Model'!$Y$62 / 'Model'!$Y$31, "")</f>
        <v/>
      </c>
      <c r="AH28" s="34">
        <f>IFERROR('Model'!$Z$62 / 'Model'!$Z$31, "")</f>
        <v/>
      </c>
      <c r="AI28" s="34">
        <f>IFERROR('Model'!$AA$62 / 'Model'!$AA$31, "")</f>
        <v/>
      </c>
      <c r="AJ28" s="34">
        <f>IFERROR('Model'!$AB$62 / 'Model'!$AB$31, "")</f>
        <v/>
      </c>
      <c r="AK28" s="34">
        <f>IFERROR('Model'!$AC$62 / 'Model'!$AC$31, "")</f>
        <v/>
      </c>
      <c r="AL28" s="34">
        <f>IFERROR('Model'!$AD$62 / 'Model'!$AD$31, "")</f>
        <v/>
      </c>
      <c r="AM28" s="34">
        <f>IFERROR('Model'!$AE$62 / 'Model'!$AE$31, "")</f>
        <v/>
      </c>
      <c r="AN28" s="34">
        <f>IFERROR('Model'!$AF$62 / 'Model'!$AF$31, "")</f>
        <v/>
      </c>
      <c r="AO28" s="34">
        <f>IFERROR('Model'!$AG$62 / 'Model'!$AG$31, "")</f>
        <v/>
      </c>
      <c r="AP28" s="34">
        <f>IFERROR('Model'!$AH$62 / 'Model'!$AH$31, "")</f>
        <v/>
      </c>
      <c r="AQ28" s="34">
        <f>IFERROR('Model'!$AI$62 / 'Model'!$AI$31, "")</f>
        <v/>
      </c>
    </row>
    <row r="29" ht="6" customHeight="1"/>
    <row r="30">
      <c r="B30" s="26" t="inlineStr">
        <is>
          <t>Cash from Operations</t>
        </is>
      </c>
      <c r="C30" s="27">
        <f>SUM(L30:O30)</f>
        <v/>
      </c>
      <c r="D30" s="27">
        <f>SUM(P30:S30)</f>
        <v/>
      </c>
      <c r="E30" s="27">
        <f>SUM(T30:W30)</f>
        <v/>
      </c>
      <c r="F30" s="27">
        <f>SUM(X30:AA30)</f>
        <v/>
      </c>
      <c r="G30" s="27">
        <f>SUM(AB30:AE30)</f>
        <v/>
      </c>
      <c r="H30" s="27">
        <f>SUM(AF30:AI30)</f>
        <v/>
      </c>
      <c r="I30" s="27">
        <f>SUM(AJ30:AM30)</f>
        <v/>
      </c>
      <c r="J30" s="27">
        <f>SUM(AN30:AQ30)</f>
        <v/>
      </c>
      <c r="L30" s="27">
        <f>'Model'!$D$72</f>
        <v/>
      </c>
      <c r="M30" s="27">
        <f>'Model'!$E$72</f>
        <v/>
      </c>
      <c r="N30" s="27">
        <f>'Model'!$F$72</f>
        <v/>
      </c>
      <c r="O30" s="27">
        <f>'Model'!$G$72</f>
        <v/>
      </c>
      <c r="P30" s="27">
        <f>'Model'!$H$72</f>
        <v/>
      </c>
      <c r="Q30" s="27">
        <f>'Model'!$I$72</f>
        <v/>
      </c>
      <c r="R30" s="27">
        <f>'Model'!$J$72</f>
        <v/>
      </c>
      <c r="S30" s="27">
        <f>'Model'!$K$72</f>
        <v/>
      </c>
      <c r="T30" s="27">
        <f>'Model'!$L$72</f>
        <v/>
      </c>
      <c r="U30" s="27">
        <f>'Model'!$M$72</f>
        <v/>
      </c>
      <c r="V30" s="27">
        <f>'Model'!$N$72</f>
        <v/>
      </c>
      <c r="W30" s="27">
        <f>'Model'!$O$72</f>
        <v/>
      </c>
      <c r="X30" s="27">
        <f>'Model'!$P$72</f>
        <v/>
      </c>
      <c r="Y30" s="27">
        <f>'Model'!$Q$72</f>
        <v/>
      </c>
      <c r="Z30" s="27">
        <f>'Model'!$R$72</f>
        <v/>
      </c>
      <c r="AA30" s="27">
        <f>'Model'!$S$72</f>
        <v/>
      </c>
      <c r="AB30" s="27">
        <f>'Model'!$T$72</f>
        <v/>
      </c>
      <c r="AC30" s="27">
        <f>'Model'!$U$72</f>
        <v/>
      </c>
      <c r="AD30" s="27">
        <f>'Model'!$V$72</f>
        <v/>
      </c>
      <c r="AE30" s="27">
        <f>'Model'!$W$72</f>
        <v/>
      </c>
      <c r="AF30" s="27">
        <f>'Model'!$X$72</f>
        <v/>
      </c>
      <c r="AG30" s="27">
        <f>'Model'!$Y$72</f>
        <v/>
      </c>
      <c r="AH30" s="27">
        <f>'Model'!$Z$72</f>
        <v/>
      </c>
      <c r="AI30" s="27">
        <f>'Model'!$AA$72</f>
        <v/>
      </c>
      <c r="AJ30" s="27">
        <f>'Model'!$AB$72</f>
        <v/>
      </c>
      <c r="AK30" s="27">
        <f>'Model'!$AC$72</f>
        <v/>
      </c>
      <c r="AL30" s="27">
        <f>'Model'!$AD$72</f>
        <v/>
      </c>
      <c r="AM30" s="27">
        <f>'Model'!$AE$72</f>
        <v/>
      </c>
      <c r="AN30" s="27">
        <f>'Model'!$AF$72</f>
        <v/>
      </c>
      <c r="AO30" s="27">
        <f>'Model'!$AG$72</f>
        <v/>
      </c>
      <c r="AP30" s="27">
        <f>'Model'!$AH$72</f>
        <v/>
      </c>
      <c r="AQ30" s="27">
        <f>'Model'!$AI$72</f>
        <v/>
      </c>
    </row>
    <row r="31">
      <c r="B31" s="26" t="inlineStr">
        <is>
          <t>Capital Expenditures</t>
        </is>
      </c>
      <c r="C31" s="27">
        <f>SUM(L31:O31)</f>
        <v/>
      </c>
      <c r="D31" s="27">
        <f>SUM(P31:S31)</f>
        <v/>
      </c>
      <c r="E31" s="27">
        <f>SUM(T31:W31)</f>
        <v/>
      </c>
      <c r="F31" s="27">
        <f>SUM(X31:AA31)</f>
        <v/>
      </c>
      <c r="G31" s="27">
        <f>SUM(AB31:AE31)</f>
        <v/>
      </c>
      <c r="H31" s="27">
        <f>SUM(AF31:AI31)</f>
        <v/>
      </c>
      <c r="I31" s="27">
        <f>SUM(AJ31:AM31)</f>
        <v/>
      </c>
      <c r="J31" s="27">
        <f>SUM(AN31:AQ31)</f>
        <v/>
      </c>
      <c r="L31" s="27">
        <f>'Model'!$D$74</f>
        <v/>
      </c>
      <c r="M31" s="27">
        <f>'Model'!$E$74</f>
        <v/>
      </c>
      <c r="N31" s="27">
        <f>'Model'!$F$74</f>
        <v/>
      </c>
      <c r="O31" s="27">
        <f>'Model'!$G$74</f>
        <v/>
      </c>
      <c r="P31" s="27">
        <f>'Model'!$H$74</f>
        <v/>
      </c>
      <c r="Q31" s="27">
        <f>'Model'!$I$74</f>
        <v/>
      </c>
      <c r="R31" s="27">
        <f>'Model'!$J$74</f>
        <v/>
      </c>
      <c r="S31" s="27">
        <f>'Model'!$K$74</f>
        <v/>
      </c>
      <c r="T31" s="27">
        <f>'Model'!$L$74</f>
        <v/>
      </c>
      <c r="U31" s="27">
        <f>'Model'!$M$74</f>
        <v/>
      </c>
      <c r="V31" s="27">
        <f>'Model'!$N$74</f>
        <v/>
      </c>
      <c r="W31" s="27">
        <f>'Model'!$O$74</f>
        <v/>
      </c>
      <c r="X31" s="27">
        <f>'Model'!$P$74</f>
        <v/>
      </c>
      <c r="Y31" s="27">
        <f>'Model'!$Q$74</f>
        <v/>
      </c>
      <c r="Z31" s="27">
        <f>'Model'!$R$74</f>
        <v/>
      </c>
      <c r="AA31" s="27">
        <f>'Model'!$S$74</f>
        <v/>
      </c>
      <c r="AB31" s="27">
        <f>'Model'!$T$74</f>
        <v/>
      </c>
      <c r="AC31" s="27">
        <f>'Model'!$U$74</f>
        <v/>
      </c>
      <c r="AD31" s="27">
        <f>'Model'!$V$74</f>
        <v/>
      </c>
      <c r="AE31" s="27">
        <f>'Model'!$W$74</f>
        <v/>
      </c>
      <c r="AF31" s="27">
        <f>'Model'!$X$74</f>
        <v/>
      </c>
      <c r="AG31" s="27">
        <f>'Model'!$Y$74</f>
        <v/>
      </c>
      <c r="AH31" s="27">
        <f>'Model'!$Z$74</f>
        <v/>
      </c>
      <c r="AI31" s="27">
        <f>'Model'!$AA$74</f>
        <v/>
      </c>
      <c r="AJ31" s="27">
        <f>'Model'!$AB$74</f>
        <v/>
      </c>
      <c r="AK31" s="27">
        <f>'Model'!$AC$74</f>
        <v/>
      </c>
      <c r="AL31" s="27">
        <f>'Model'!$AD$74</f>
        <v/>
      </c>
      <c r="AM31" s="27">
        <f>'Model'!$AE$74</f>
        <v/>
      </c>
      <c r="AN31" s="27">
        <f>'Model'!$AF$74</f>
        <v/>
      </c>
      <c r="AO31" s="27">
        <f>'Model'!$AG$74</f>
        <v/>
      </c>
      <c r="AP31" s="27">
        <f>'Model'!$AH$74</f>
        <v/>
      </c>
      <c r="AQ31" s="27">
        <f>'Model'!$AI$74</f>
        <v/>
      </c>
    </row>
    <row r="32" ht="6" customHeight="1"/>
    <row r="33">
      <c r="B33" s="28" t="inlineStr">
        <is>
          <t>Free Cash Flow</t>
        </is>
      </c>
      <c r="C33" s="29">
        <f>SUM(L33:O33)</f>
        <v/>
      </c>
      <c r="D33" s="29">
        <f>SUM(P33:S33)</f>
        <v/>
      </c>
      <c r="E33" s="29">
        <f>SUM(T33:W33)</f>
        <v/>
      </c>
      <c r="F33" s="29">
        <f>SUM(X33:AA33)</f>
        <v/>
      </c>
      <c r="G33" s="29">
        <f>SUM(AB33:AE33)</f>
        <v/>
      </c>
      <c r="H33" s="29">
        <f>SUM(AF33:AI33)</f>
        <v/>
      </c>
      <c r="I33" s="29">
        <f>SUM(AJ33:AM33)</f>
        <v/>
      </c>
      <c r="J33" s="29">
        <f>SUM(AN33:AQ33)</f>
        <v/>
      </c>
      <c r="L33" s="29">
        <f>'Model'!$D$75</f>
        <v/>
      </c>
      <c r="M33" s="29">
        <f>'Model'!$E$75</f>
        <v/>
      </c>
      <c r="N33" s="29">
        <f>'Model'!$F$75</f>
        <v/>
      </c>
      <c r="O33" s="29">
        <f>'Model'!$G$75</f>
        <v/>
      </c>
      <c r="P33" s="29">
        <f>'Model'!$H$75</f>
        <v/>
      </c>
      <c r="Q33" s="29">
        <f>'Model'!$I$75</f>
        <v/>
      </c>
      <c r="R33" s="29">
        <f>'Model'!$J$75</f>
        <v/>
      </c>
      <c r="S33" s="29">
        <f>'Model'!$K$75</f>
        <v/>
      </c>
      <c r="T33" s="29">
        <f>'Model'!$L$75</f>
        <v/>
      </c>
      <c r="U33" s="29">
        <f>'Model'!$M$75</f>
        <v/>
      </c>
      <c r="V33" s="29">
        <f>'Model'!$N$75</f>
        <v/>
      </c>
      <c r="W33" s="29">
        <f>'Model'!$O$75</f>
        <v/>
      </c>
      <c r="X33" s="29">
        <f>'Model'!$P$75</f>
        <v/>
      </c>
      <c r="Y33" s="29">
        <f>'Model'!$Q$75</f>
        <v/>
      </c>
      <c r="Z33" s="29">
        <f>'Model'!$R$75</f>
        <v/>
      </c>
      <c r="AA33" s="29">
        <f>'Model'!$S$75</f>
        <v/>
      </c>
      <c r="AB33" s="29">
        <f>'Model'!$T$75</f>
        <v/>
      </c>
      <c r="AC33" s="29">
        <f>'Model'!$U$75</f>
        <v/>
      </c>
      <c r="AD33" s="29">
        <f>'Model'!$V$75</f>
        <v/>
      </c>
      <c r="AE33" s="29">
        <f>'Model'!$W$75</f>
        <v/>
      </c>
      <c r="AF33" s="29">
        <f>'Model'!$X$75</f>
        <v/>
      </c>
      <c r="AG33" s="29">
        <f>'Model'!$Y$75</f>
        <v/>
      </c>
      <c r="AH33" s="29">
        <f>'Model'!$Z$75</f>
        <v/>
      </c>
      <c r="AI33" s="29">
        <f>'Model'!$AA$75</f>
        <v/>
      </c>
      <c r="AJ33" s="29">
        <f>'Model'!$AB$75</f>
        <v/>
      </c>
      <c r="AK33" s="29">
        <f>'Model'!$AC$75</f>
        <v/>
      </c>
      <c r="AL33" s="29">
        <f>'Model'!$AD$75</f>
        <v/>
      </c>
      <c r="AM33" s="29">
        <f>'Model'!$AE$75</f>
        <v/>
      </c>
      <c r="AN33" s="29">
        <f>'Model'!$AF$75</f>
        <v/>
      </c>
      <c r="AO33" s="29">
        <f>'Model'!$AG$75</f>
        <v/>
      </c>
      <c r="AP33" s="29">
        <f>'Model'!$AH$75</f>
        <v/>
      </c>
      <c r="AQ33" s="29">
        <f>'Model'!$AI$75</f>
        <v/>
      </c>
    </row>
    <row r="34" ht="6" customHeight="1"/>
    <row r="35">
      <c r="B35" s="26" t="inlineStr">
        <is>
          <t>Ending Cash</t>
        </is>
      </c>
      <c r="C35" s="27">
        <f>O35</f>
        <v/>
      </c>
      <c r="D35" s="27">
        <f>S35</f>
        <v/>
      </c>
      <c r="E35" s="27">
        <f>W35</f>
        <v/>
      </c>
      <c r="F35" s="27">
        <f>AA35</f>
        <v/>
      </c>
      <c r="G35" s="27">
        <f>AE35</f>
        <v/>
      </c>
      <c r="H35" s="27">
        <f>AI35</f>
        <v/>
      </c>
      <c r="I35" s="27">
        <f>AM35</f>
        <v/>
      </c>
      <c r="J35" s="27">
        <f>AQ35</f>
        <v/>
      </c>
      <c r="L35" s="27">
        <f>'Model'!$D$78</f>
        <v/>
      </c>
      <c r="M35" s="27">
        <f>'Model'!$E$78</f>
        <v/>
      </c>
      <c r="N35" s="27">
        <f>'Model'!$F$78</f>
        <v/>
      </c>
      <c r="O35" s="27">
        <f>'Model'!$G$78</f>
        <v/>
      </c>
      <c r="P35" s="27">
        <f>'Model'!$H$78</f>
        <v/>
      </c>
      <c r="Q35" s="27">
        <f>'Model'!$I$78</f>
        <v/>
      </c>
      <c r="R35" s="27">
        <f>'Model'!$J$78</f>
        <v/>
      </c>
      <c r="S35" s="27">
        <f>'Model'!$K$78</f>
        <v/>
      </c>
      <c r="T35" s="27">
        <f>'Model'!$L$78</f>
        <v/>
      </c>
      <c r="U35" s="27">
        <f>'Model'!$M$78</f>
        <v/>
      </c>
      <c r="V35" s="27">
        <f>'Model'!$N$78</f>
        <v/>
      </c>
      <c r="W35" s="27">
        <f>'Model'!$O$78</f>
        <v/>
      </c>
      <c r="X35" s="27">
        <f>'Model'!$P$78</f>
        <v/>
      </c>
      <c r="Y35" s="27">
        <f>'Model'!$Q$78</f>
        <v/>
      </c>
      <c r="Z35" s="27">
        <f>'Model'!$R$78</f>
        <v/>
      </c>
      <c r="AA35" s="27">
        <f>'Model'!$S$78</f>
        <v/>
      </c>
      <c r="AB35" s="27">
        <f>'Model'!$T$78</f>
        <v/>
      </c>
      <c r="AC35" s="27">
        <f>'Model'!$U$78</f>
        <v/>
      </c>
      <c r="AD35" s="27">
        <f>'Model'!$V$78</f>
        <v/>
      </c>
      <c r="AE35" s="27">
        <f>'Model'!$W$78</f>
        <v/>
      </c>
      <c r="AF35" s="27">
        <f>'Model'!$X$78</f>
        <v/>
      </c>
      <c r="AG35" s="27">
        <f>'Model'!$Y$78</f>
        <v/>
      </c>
      <c r="AH35" s="27">
        <f>'Model'!$Z$78</f>
        <v/>
      </c>
      <c r="AI35" s="27">
        <f>'Model'!$AA$78</f>
        <v/>
      </c>
      <c r="AJ35" s="27">
        <f>'Model'!$AB$78</f>
        <v/>
      </c>
      <c r="AK35" s="27">
        <f>'Model'!$AC$78</f>
        <v/>
      </c>
      <c r="AL35" s="27">
        <f>'Model'!$AD$78</f>
        <v/>
      </c>
      <c r="AM35" s="27">
        <f>'Model'!$AE$78</f>
        <v/>
      </c>
      <c r="AN35" s="27">
        <f>'Model'!$AF$78</f>
        <v/>
      </c>
      <c r="AO35" s="27">
        <f>'Model'!$AG$78</f>
        <v/>
      </c>
      <c r="AP35" s="27">
        <f>'Model'!$AH$78</f>
        <v/>
      </c>
      <c r="AQ35" s="27">
        <f>'Model'!$AI$78</f>
        <v/>
      </c>
    </row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Q39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 ht="6" customHeight="1"/>
    <row r="2">
      <c r="B2" s="1" t="inlineStr">
        <is>
          <t>Income Statement</t>
        </is>
      </c>
    </row>
    <row r="3">
      <c r="B3" s="4" t="inlineStr">
        <is>
          <t>Link to Cover</t>
        </is>
      </c>
    </row>
    <row r="4">
      <c r="A4" s="7" t="n"/>
      <c r="B4" s="21" t="inlineStr">
        <is>
          <t>All figures in $ thousands, unless otherwise noted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8" t="n"/>
      <c r="C6" s="22" t="n">
        <v>44197</v>
      </c>
      <c r="D6" s="22" t="n">
        <v>44562</v>
      </c>
      <c r="E6" s="22" t="n">
        <v>44927</v>
      </c>
      <c r="F6" s="22" t="n">
        <v>45292</v>
      </c>
      <c r="G6" s="22" t="n">
        <v>45658</v>
      </c>
      <c r="H6" s="23" t="n">
        <v>46023</v>
      </c>
      <c r="I6" s="23" t="n">
        <v>46388</v>
      </c>
      <c r="J6" s="23" t="n">
        <v>46753</v>
      </c>
      <c r="K6" s="8" t="inlineStr"/>
      <c r="L6" s="24" t="inlineStr">
        <is>
          <t>Q1 '21</t>
        </is>
      </c>
      <c r="M6" s="24" t="inlineStr">
        <is>
          <t>Q2 '21</t>
        </is>
      </c>
      <c r="N6" s="24" t="inlineStr">
        <is>
          <t>Q3 '21</t>
        </is>
      </c>
      <c r="O6" s="24" t="inlineStr">
        <is>
          <t>Q4 '21</t>
        </is>
      </c>
      <c r="P6" s="24" t="inlineStr">
        <is>
          <t>Q1 '22</t>
        </is>
      </c>
      <c r="Q6" s="24" t="inlineStr">
        <is>
          <t>Q2 '22</t>
        </is>
      </c>
      <c r="R6" s="24" t="inlineStr">
        <is>
          <t>Q3 '22</t>
        </is>
      </c>
      <c r="S6" s="24" t="inlineStr">
        <is>
          <t>Q4 '22</t>
        </is>
      </c>
      <c r="T6" s="24" t="inlineStr">
        <is>
          <t>Q1 '23</t>
        </is>
      </c>
      <c r="U6" s="24" t="inlineStr">
        <is>
          <t>Q2 '23</t>
        </is>
      </c>
      <c r="V6" s="24" t="inlineStr">
        <is>
          <t>Q3 '23</t>
        </is>
      </c>
      <c r="W6" s="24" t="inlineStr">
        <is>
          <t>Q4 '23</t>
        </is>
      </c>
      <c r="X6" s="24" t="inlineStr">
        <is>
          <t>Q1 '24</t>
        </is>
      </c>
      <c r="Y6" s="24" t="inlineStr">
        <is>
          <t>Q2 '24</t>
        </is>
      </c>
      <c r="Z6" s="24" t="inlineStr">
        <is>
          <t>Q3 '24</t>
        </is>
      </c>
      <c r="AA6" s="24" t="inlineStr">
        <is>
          <t>Q4 '24</t>
        </is>
      </c>
      <c r="AB6" s="24" t="inlineStr">
        <is>
          <t>Q1 '25</t>
        </is>
      </c>
      <c r="AC6" s="24" t="inlineStr">
        <is>
          <t>Q2 '25</t>
        </is>
      </c>
      <c r="AD6" s="24" t="inlineStr">
        <is>
          <t>Q3 '25</t>
        </is>
      </c>
      <c r="AE6" s="24" t="inlineStr">
        <is>
          <t>Q4 '25</t>
        </is>
      </c>
      <c r="AF6" s="24" t="inlineStr">
        <is>
          <t>Q1 '26</t>
        </is>
      </c>
      <c r="AG6" s="24" t="inlineStr">
        <is>
          <t>Q2 '26</t>
        </is>
      </c>
      <c r="AH6" s="25" t="inlineStr">
        <is>
          <t>Q3 '26</t>
        </is>
      </c>
      <c r="AI6" s="25" t="inlineStr">
        <is>
          <t>Q4 '26</t>
        </is>
      </c>
      <c r="AJ6" s="25" t="inlineStr">
        <is>
          <t>Q1 '27</t>
        </is>
      </c>
      <c r="AK6" s="25" t="inlineStr">
        <is>
          <t>Q2 '27</t>
        </is>
      </c>
      <c r="AL6" s="25" t="inlineStr">
        <is>
          <t>Q3 '27</t>
        </is>
      </c>
      <c r="AM6" s="25" t="inlineStr">
        <is>
          <t>Q4 '27</t>
        </is>
      </c>
      <c r="AN6" s="25" t="inlineStr">
        <is>
          <t>Q1 '28</t>
        </is>
      </c>
      <c r="AO6" s="25" t="inlineStr">
        <is>
          <t>Q2 '28</t>
        </is>
      </c>
      <c r="AP6" s="25" t="inlineStr">
        <is>
          <t>Q3 '28</t>
        </is>
      </c>
      <c r="AQ6" s="25" t="inlineStr">
        <is>
          <t>Q4 '28</t>
        </is>
      </c>
    </row>
    <row r="7">
      <c r="B7" s="26" t="inlineStr">
        <is>
          <t>T&amp;M Revenue - Labour</t>
        </is>
      </c>
      <c r="C7" s="27">
        <f>SUM(L7:O7)</f>
        <v/>
      </c>
      <c r="D7" s="27">
        <f>SUM(P7:S7)</f>
        <v/>
      </c>
      <c r="E7" s="27">
        <f>SUM(T7:W7)</f>
        <v/>
      </c>
      <c r="F7" s="27">
        <f>SUM(X7:AA7)</f>
        <v/>
      </c>
      <c r="G7" s="27">
        <f>SUM(AB7:AE7)</f>
        <v/>
      </c>
      <c r="H7" s="27">
        <f>SUM(AF7:AI7)</f>
        <v/>
      </c>
      <c r="I7" s="27">
        <f>SUM(AJ7:AM7)</f>
        <v/>
      </c>
      <c r="J7" s="27">
        <f>SUM(AN7:AQ7)</f>
        <v/>
      </c>
      <c r="L7" s="27">
        <f>'Model'!$D$20</f>
        <v/>
      </c>
      <c r="M7" s="27">
        <f>'Model'!$E$20</f>
        <v/>
      </c>
      <c r="N7" s="27">
        <f>'Model'!$F$20</f>
        <v/>
      </c>
      <c r="O7" s="27">
        <f>'Model'!$G$20</f>
        <v/>
      </c>
      <c r="P7" s="27">
        <f>'Model'!$H$20</f>
        <v/>
      </c>
      <c r="Q7" s="27">
        <f>'Model'!$I$20</f>
        <v/>
      </c>
      <c r="R7" s="27">
        <f>'Model'!$J$20</f>
        <v/>
      </c>
      <c r="S7" s="27">
        <f>'Model'!$K$20</f>
        <v/>
      </c>
      <c r="T7" s="27">
        <f>'Model'!$L$20</f>
        <v/>
      </c>
      <c r="U7" s="27">
        <f>'Model'!$M$20</f>
        <v/>
      </c>
      <c r="V7" s="27">
        <f>'Model'!$N$20</f>
        <v/>
      </c>
      <c r="W7" s="27">
        <f>'Model'!$O$20</f>
        <v/>
      </c>
      <c r="X7" s="27">
        <f>'Model'!$P$20</f>
        <v/>
      </c>
      <c r="Y7" s="27">
        <f>'Model'!$Q$20</f>
        <v/>
      </c>
      <c r="Z7" s="27">
        <f>'Model'!$R$20</f>
        <v/>
      </c>
      <c r="AA7" s="27">
        <f>'Model'!$S$20</f>
        <v/>
      </c>
      <c r="AB7" s="27">
        <f>'Model'!$T$20</f>
        <v/>
      </c>
      <c r="AC7" s="27">
        <f>'Model'!$U$20</f>
        <v/>
      </c>
      <c r="AD7" s="27">
        <f>'Model'!$V$20</f>
        <v/>
      </c>
      <c r="AE7" s="27">
        <f>'Model'!$W$20</f>
        <v/>
      </c>
      <c r="AF7" s="27">
        <f>'Model'!$X$20</f>
        <v/>
      </c>
      <c r="AG7" s="27">
        <f>'Model'!$Y$20</f>
        <v/>
      </c>
      <c r="AH7" s="27">
        <f>'Model'!$Z$20</f>
        <v/>
      </c>
      <c r="AI7" s="27">
        <f>'Model'!$AA$20</f>
        <v/>
      </c>
      <c r="AJ7" s="27">
        <f>'Model'!$AB$20</f>
        <v/>
      </c>
      <c r="AK7" s="27">
        <f>'Model'!$AC$20</f>
        <v/>
      </c>
      <c r="AL7" s="27">
        <f>'Model'!$AD$20</f>
        <v/>
      </c>
      <c r="AM7" s="27">
        <f>'Model'!$AE$20</f>
        <v/>
      </c>
      <c r="AN7" s="27">
        <f>'Model'!$AF$20</f>
        <v/>
      </c>
      <c r="AO7" s="27">
        <f>'Model'!$AG$20</f>
        <v/>
      </c>
      <c r="AP7" s="27">
        <f>'Model'!$AH$20</f>
        <v/>
      </c>
      <c r="AQ7" s="27">
        <f>'Model'!$AI$20</f>
        <v/>
      </c>
    </row>
    <row r="8">
      <c r="B8" s="26" t="inlineStr">
        <is>
          <t>T&amp;M Revenue - Material</t>
        </is>
      </c>
      <c r="C8" s="27">
        <f>SUM(L8:O8)</f>
        <v/>
      </c>
      <c r="D8" s="27">
        <f>SUM(P8:S8)</f>
        <v/>
      </c>
      <c r="E8" s="27">
        <f>SUM(T8:W8)</f>
        <v/>
      </c>
      <c r="F8" s="27">
        <f>SUM(X8:AA8)</f>
        <v/>
      </c>
      <c r="G8" s="27">
        <f>SUM(AB8:AE8)</f>
        <v/>
      </c>
      <c r="H8" s="27">
        <f>SUM(AF8:AI8)</f>
        <v/>
      </c>
      <c r="I8" s="27">
        <f>SUM(AJ8:AM8)</f>
        <v/>
      </c>
      <c r="J8" s="27">
        <f>SUM(AN8:AQ8)</f>
        <v/>
      </c>
      <c r="L8" s="27">
        <f>'Model'!$D$21</f>
        <v/>
      </c>
      <c r="M8" s="27">
        <f>'Model'!$E$21</f>
        <v/>
      </c>
      <c r="N8" s="27">
        <f>'Model'!$F$21</f>
        <v/>
      </c>
      <c r="O8" s="27">
        <f>'Model'!$G$21</f>
        <v/>
      </c>
      <c r="P8" s="27">
        <f>'Model'!$H$21</f>
        <v/>
      </c>
      <c r="Q8" s="27">
        <f>'Model'!$I$21</f>
        <v/>
      </c>
      <c r="R8" s="27">
        <f>'Model'!$J$21</f>
        <v/>
      </c>
      <c r="S8" s="27">
        <f>'Model'!$K$21</f>
        <v/>
      </c>
      <c r="T8" s="27">
        <f>'Model'!$L$21</f>
        <v/>
      </c>
      <c r="U8" s="27">
        <f>'Model'!$M$21</f>
        <v/>
      </c>
      <c r="V8" s="27">
        <f>'Model'!$N$21</f>
        <v/>
      </c>
      <c r="W8" s="27">
        <f>'Model'!$O$21</f>
        <v/>
      </c>
      <c r="X8" s="27">
        <f>'Model'!$P$21</f>
        <v/>
      </c>
      <c r="Y8" s="27">
        <f>'Model'!$Q$21</f>
        <v/>
      </c>
      <c r="Z8" s="27">
        <f>'Model'!$R$21</f>
        <v/>
      </c>
      <c r="AA8" s="27">
        <f>'Model'!$S$21</f>
        <v/>
      </c>
      <c r="AB8" s="27">
        <f>'Model'!$T$21</f>
        <v/>
      </c>
      <c r="AC8" s="27">
        <f>'Model'!$U$21</f>
        <v/>
      </c>
      <c r="AD8" s="27">
        <f>'Model'!$V$21</f>
        <v/>
      </c>
      <c r="AE8" s="27">
        <f>'Model'!$W$21</f>
        <v/>
      </c>
      <c r="AF8" s="27">
        <f>'Model'!$X$21</f>
        <v/>
      </c>
      <c r="AG8" s="27">
        <f>'Model'!$Y$21</f>
        <v/>
      </c>
      <c r="AH8" s="27">
        <f>'Model'!$Z$21</f>
        <v/>
      </c>
      <c r="AI8" s="27">
        <f>'Model'!$AA$21</f>
        <v/>
      </c>
      <c r="AJ8" s="27">
        <f>'Model'!$AB$21</f>
        <v/>
      </c>
      <c r="AK8" s="27">
        <f>'Model'!$AC$21</f>
        <v/>
      </c>
      <c r="AL8" s="27">
        <f>'Model'!$AD$21</f>
        <v/>
      </c>
      <c r="AM8" s="27">
        <f>'Model'!$AE$21</f>
        <v/>
      </c>
      <c r="AN8" s="27">
        <f>'Model'!$AF$21</f>
        <v/>
      </c>
      <c r="AO8" s="27">
        <f>'Model'!$AG$21</f>
        <v/>
      </c>
      <c r="AP8" s="27">
        <f>'Model'!$AH$21</f>
        <v/>
      </c>
      <c r="AQ8" s="27">
        <f>'Model'!$AI$21</f>
        <v/>
      </c>
    </row>
    <row r="9">
      <c r="B9" s="28" t="inlineStr">
        <is>
          <t>Time &amp; Materials Revenue</t>
        </is>
      </c>
      <c r="C9" s="29">
        <f>SUM(L9:O9)</f>
        <v/>
      </c>
      <c r="D9" s="29">
        <f>SUM(P9:S9)</f>
        <v/>
      </c>
      <c r="E9" s="29">
        <f>SUM(T9:W9)</f>
        <v/>
      </c>
      <c r="F9" s="29">
        <f>SUM(X9:AA9)</f>
        <v/>
      </c>
      <c r="G9" s="29">
        <f>SUM(AB9:AE9)</f>
        <v/>
      </c>
      <c r="H9" s="29">
        <f>SUM(AF9:AI9)</f>
        <v/>
      </c>
      <c r="I9" s="29">
        <f>SUM(AJ9:AM9)</f>
        <v/>
      </c>
      <c r="J9" s="29">
        <f>SUM(AN9:AQ9)</f>
        <v/>
      </c>
      <c r="L9" s="29">
        <f>'Model'!$D$22</f>
        <v/>
      </c>
      <c r="M9" s="29">
        <f>'Model'!$E$22</f>
        <v/>
      </c>
      <c r="N9" s="29">
        <f>'Model'!$F$22</f>
        <v/>
      </c>
      <c r="O9" s="29">
        <f>'Model'!$G$22</f>
        <v/>
      </c>
      <c r="P9" s="29">
        <f>'Model'!$H$22</f>
        <v/>
      </c>
      <c r="Q9" s="29">
        <f>'Model'!$I$22</f>
        <v/>
      </c>
      <c r="R9" s="29">
        <f>'Model'!$J$22</f>
        <v/>
      </c>
      <c r="S9" s="29">
        <f>'Model'!$K$22</f>
        <v/>
      </c>
      <c r="T9" s="29">
        <f>'Model'!$L$22</f>
        <v/>
      </c>
      <c r="U9" s="29">
        <f>'Model'!$M$22</f>
        <v/>
      </c>
      <c r="V9" s="29">
        <f>'Model'!$N$22</f>
        <v/>
      </c>
      <c r="W9" s="29">
        <f>'Model'!$O$22</f>
        <v/>
      </c>
      <c r="X9" s="29">
        <f>'Model'!$P$22</f>
        <v/>
      </c>
      <c r="Y9" s="29">
        <f>'Model'!$Q$22</f>
        <v/>
      </c>
      <c r="Z9" s="29">
        <f>'Model'!$R$22</f>
        <v/>
      </c>
      <c r="AA9" s="29">
        <f>'Model'!$S$22</f>
        <v/>
      </c>
      <c r="AB9" s="29">
        <f>'Model'!$T$22</f>
        <v/>
      </c>
      <c r="AC9" s="29">
        <f>'Model'!$U$22</f>
        <v/>
      </c>
      <c r="AD9" s="29">
        <f>'Model'!$V$22</f>
        <v/>
      </c>
      <c r="AE9" s="29">
        <f>'Model'!$W$22</f>
        <v/>
      </c>
      <c r="AF9" s="29">
        <f>'Model'!$X$22</f>
        <v/>
      </c>
      <c r="AG9" s="29">
        <f>'Model'!$Y$22</f>
        <v/>
      </c>
      <c r="AH9" s="29">
        <f>'Model'!$Z$22</f>
        <v/>
      </c>
      <c r="AI9" s="29">
        <f>'Model'!$AA$22</f>
        <v/>
      </c>
      <c r="AJ9" s="29">
        <f>'Model'!$AB$22</f>
        <v/>
      </c>
      <c r="AK9" s="29">
        <f>'Model'!$AC$22</f>
        <v/>
      </c>
      <c r="AL9" s="29">
        <f>'Model'!$AD$22</f>
        <v/>
      </c>
      <c r="AM9" s="29">
        <f>'Model'!$AE$22</f>
        <v/>
      </c>
      <c r="AN9" s="29">
        <f>'Model'!$AF$22</f>
        <v/>
      </c>
      <c r="AO9" s="29">
        <f>'Model'!$AG$22</f>
        <v/>
      </c>
      <c r="AP9" s="29">
        <f>'Model'!$AH$22</f>
        <v/>
      </c>
      <c r="AQ9" s="29">
        <f>'Model'!$AI$22</f>
        <v/>
      </c>
    </row>
    <row r="10" ht="6" customHeight="1"/>
    <row r="11">
      <c r="B11" s="26" t="inlineStr">
        <is>
          <t>Fixed-Price Revenue</t>
        </is>
      </c>
      <c r="C11" s="27">
        <f>SUM(L11:O11)</f>
        <v/>
      </c>
      <c r="D11" s="27">
        <f>SUM(P11:S11)</f>
        <v/>
      </c>
      <c r="E11" s="27">
        <f>SUM(T11:W11)</f>
        <v/>
      </c>
      <c r="F11" s="27">
        <f>SUM(X11:AA11)</f>
        <v/>
      </c>
      <c r="G11" s="27">
        <f>SUM(AB11:AE11)</f>
        <v/>
      </c>
      <c r="H11" s="27">
        <f>SUM(AF11:AI11)</f>
        <v/>
      </c>
      <c r="I11" s="27">
        <f>SUM(AJ11:AM11)</f>
        <v/>
      </c>
      <c r="J11" s="27">
        <f>SUM(AN11:AQ11)</f>
        <v/>
      </c>
      <c r="L11" s="27">
        <f>'Model'!$D$27</f>
        <v/>
      </c>
      <c r="M11" s="27">
        <f>'Model'!$E$27</f>
        <v/>
      </c>
      <c r="N11" s="27">
        <f>'Model'!$F$27</f>
        <v/>
      </c>
      <c r="O11" s="27">
        <f>'Model'!$G$27</f>
        <v/>
      </c>
      <c r="P11" s="27">
        <f>'Model'!$H$27</f>
        <v/>
      </c>
      <c r="Q11" s="27">
        <f>'Model'!$I$27</f>
        <v/>
      </c>
      <c r="R11" s="27">
        <f>'Model'!$J$27</f>
        <v/>
      </c>
      <c r="S11" s="27">
        <f>'Model'!$K$27</f>
        <v/>
      </c>
      <c r="T11" s="27">
        <f>'Model'!$L$27</f>
        <v/>
      </c>
      <c r="U11" s="27">
        <f>'Model'!$M$27</f>
        <v/>
      </c>
      <c r="V11" s="27">
        <f>'Model'!$N$27</f>
        <v/>
      </c>
      <c r="W11" s="27">
        <f>'Model'!$O$27</f>
        <v/>
      </c>
      <c r="X11" s="27">
        <f>'Model'!$P$27</f>
        <v/>
      </c>
      <c r="Y11" s="27">
        <f>'Model'!$Q$27</f>
        <v/>
      </c>
      <c r="Z11" s="27">
        <f>'Model'!$R$27</f>
        <v/>
      </c>
      <c r="AA11" s="27">
        <f>'Model'!$S$27</f>
        <v/>
      </c>
      <c r="AB11" s="27">
        <f>'Model'!$T$27</f>
        <v/>
      </c>
      <c r="AC11" s="27">
        <f>'Model'!$U$27</f>
        <v/>
      </c>
      <c r="AD11" s="27">
        <f>'Model'!$V$27</f>
        <v/>
      </c>
      <c r="AE11" s="27">
        <f>'Model'!$W$27</f>
        <v/>
      </c>
      <c r="AF11" s="27">
        <f>'Model'!$X$27</f>
        <v/>
      </c>
      <c r="AG11" s="27">
        <f>'Model'!$Y$27</f>
        <v/>
      </c>
      <c r="AH11" s="27">
        <f>'Model'!$Z$27</f>
        <v/>
      </c>
      <c r="AI11" s="27">
        <f>'Model'!$AA$27</f>
        <v/>
      </c>
      <c r="AJ11" s="27">
        <f>'Model'!$AB$27</f>
        <v/>
      </c>
      <c r="AK11" s="27">
        <f>'Model'!$AC$27</f>
        <v/>
      </c>
      <c r="AL11" s="27">
        <f>'Model'!$AD$27</f>
        <v/>
      </c>
      <c r="AM11" s="27">
        <f>'Model'!$AE$27</f>
        <v/>
      </c>
      <c r="AN11" s="27">
        <f>'Model'!$AF$27</f>
        <v/>
      </c>
      <c r="AO11" s="27">
        <f>'Model'!$AG$27</f>
        <v/>
      </c>
      <c r="AP11" s="27">
        <f>'Model'!$AH$27</f>
        <v/>
      </c>
      <c r="AQ11" s="27">
        <f>'Model'!$AI$27</f>
        <v/>
      </c>
    </row>
    <row r="12">
      <c r="B12" s="26" t="inlineStr">
        <is>
          <t>Series Production Revenue</t>
        </is>
      </c>
      <c r="C12" s="27">
        <f>SUM(L12:O12)</f>
        <v/>
      </c>
      <c r="D12" s="27">
        <f>SUM(P12:S12)</f>
        <v/>
      </c>
      <c r="E12" s="27">
        <f>SUM(T12:W12)</f>
        <v/>
      </c>
      <c r="F12" s="27">
        <f>SUM(X12:AA12)</f>
        <v/>
      </c>
      <c r="G12" s="27">
        <f>SUM(AB12:AE12)</f>
        <v/>
      </c>
      <c r="H12" s="27">
        <f>SUM(AF12:AI12)</f>
        <v/>
      </c>
      <c r="I12" s="27">
        <f>SUM(AJ12:AM12)</f>
        <v/>
      </c>
      <c r="J12" s="27">
        <f>SUM(AN12:AQ12)</f>
        <v/>
      </c>
      <c r="L12" s="27">
        <f>'Model'!$D$29</f>
        <v/>
      </c>
      <c r="M12" s="27">
        <f>'Model'!$E$29</f>
        <v/>
      </c>
      <c r="N12" s="27">
        <f>'Model'!$F$29</f>
        <v/>
      </c>
      <c r="O12" s="27">
        <f>'Model'!$G$29</f>
        <v/>
      </c>
      <c r="P12" s="27">
        <f>'Model'!$H$29</f>
        <v/>
      </c>
      <c r="Q12" s="27">
        <f>'Model'!$I$29</f>
        <v/>
      </c>
      <c r="R12" s="27">
        <f>'Model'!$J$29</f>
        <v/>
      </c>
      <c r="S12" s="27">
        <f>'Model'!$K$29</f>
        <v/>
      </c>
      <c r="T12" s="27">
        <f>'Model'!$L$29</f>
        <v/>
      </c>
      <c r="U12" s="27">
        <f>'Model'!$M$29</f>
        <v/>
      </c>
      <c r="V12" s="27">
        <f>'Model'!$N$29</f>
        <v/>
      </c>
      <c r="W12" s="27">
        <f>'Model'!$O$29</f>
        <v/>
      </c>
      <c r="X12" s="27">
        <f>'Model'!$P$29</f>
        <v/>
      </c>
      <c r="Y12" s="27">
        <f>'Model'!$Q$29</f>
        <v/>
      </c>
      <c r="Z12" s="27">
        <f>'Model'!$R$29</f>
        <v/>
      </c>
      <c r="AA12" s="27">
        <f>'Model'!$S$29</f>
        <v/>
      </c>
      <c r="AB12" s="27">
        <f>'Model'!$T$29</f>
        <v/>
      </c>
      <c r="AC12" s="27">
        <f>'Model'!$U$29</f>
        <v/>
      </c>
      <c r="AD12" s="27">
        <f>'Model'!$V$29</f>
        <v/>
      </c>
      <c r="AE12" s="27">
        <f>'Model'!$W$29</f>
        <v/>
      </c>
      <c r="AF12" s="27">
        <f>'Model'!$X$29</f>
        <v/>
      </c>
      <c r="AG12" s="27">
        <f>'Model'!$Y$29</f>
        <v/>
      </c>
      <c r="AH12" s="27">
        <f>'Model'!$Z$29</f>
        <v/>
      </c>
      <c r="AI12" s="27">
        <f>'Model'!$AA$29</f>
        <v/>
      </c>
      <c r="AJ12" s="27">
        <f>'Model'!$AB$29</f>
        <v/>
      </c>
      <c r="AK12" s="27">
        <f>'Model'!$AC$29</f>
        <v/>
      </c>
      <c r="AL12" s="27">
        <f>'Model'!$AD$29</f>
        <v/>
      </c>
      <c r="AM12" s="27">
        <f>'Model'!$AE$29</f>
        <v/>
      </c>
      <c r="AN12" s="27">
        <f>'Model'!$AF$29</f>
        <v/>
      </c>
      <c r="AO12" s="27">
        <f>'Model'!$AG$29</f>
        <v/>
      </c>
      <c r="AP12" s="27">
        <f>'Model'!$AH$29</f>
        <v/>
      </c>
      <c r="AQ12" s="27">
        <f>'Model'!$AI$29</f>
        <v/>
      </c>
    </row>
    <row r="13" ht="6" customHeight="1"/>
    <row r="14">
      <c r="B14" s="28" t="inlineStr">
        <is>
          <t>Total Revenue</t>
        </is>
      </c>
      <c r="C14" s="29">
        <f>SUM(L14:O14)</f>
        <v/>
      </c>
      <c r="D14" s="29">
        <f>SUM(P14:S14)</f>
        <v/>
      </c>
      <c r="E14" s="29">
        <f>SUM(T14:W14)</f>
        <v/>
      </c>
      <c r="F14" s="29">
        <f>SUM(X14:AA14)</f>
        <v/>
      </c>
      <c r="G14" s="29">
        <f>SUM(AB14:AE14)</f>
        <v/>
      </c>
      <c r="H14" s="29">
        <f>SUM(AF14:AI14)</f>
        <v/>
      </c>
      <c r="I14" s="29">
        <f>SUM(AJ14:AM14)</f>
        <v/>
      </c>
      <c r="J14" s="29">
        <f>SUM(AN14:AQ14)</f>
        <v/>
      </c>
      <c r="L14" s="29">
        <f>'Model'!$D$31</f>
        <v/>
      </c>
      <c r="M14" s="29">
        <f>'Model'!$E$31</f>
        <v/>
      </c>
      <c r="N14" s="29">
        <f>'Model'!$F$31</f>
        <v/>
      </c>
      <c r="O14" s="29">
        <f>'Model'!$G$31</f>
        <v/>
      </c>
      <c r="P14" s="29">
        <f>'Model'!$H$31</f>
        <v/>
      </c>
      <c r="Q14" s="29">
        <f>'Model'!$I$31</f>
        <v/>
      </c>
      <c r="R14" s="29">
        <f>'Model'!$J$31</f>
        <v/>
      </c>
      <c r="S14" s="29">
        <f>'Model'!$K$31</f>
        <v/>
      </c>
      <c r="T14" s="29">
        <f>'Model'!$L$31</f>
        <v/>
      </c>
      <c r="U14" s="29">
        <f>'Model'!$M$31</f>
        <v/>
      </c>
      <c r="V14" s="29">
        <f>'Model'!$N$31</f>
        <v/>
      </c>
      <c r="W14" s="29">
        <f>'Model'!$O$31</f>
        <v/>
      </c>
      <c r="X14" s="29">
        <f>'Model'!$P$31</f>
        <v/>
      </c>
      <c r="Y14" s="29">
        <f>'Model'!$Q$31</f>
        <v/>
      </c>
      <c r="Z14" s="29">
        <f>'Model'!$R$31</f>
        <v/>
      </c>
      <c r="AA14" s="29">
        <f>'Model'!$S$31</f>
        <v/>
      </c>
      <c r="AB14" s="29">
        <f>'Model'!$T$31</f>
        <v/>
      </c>
      <c r="AC14" s="29">
        <f>'Model'!$U$31</f>
        <v/>
      </c>
      <c r="AD14" s="29">
        <f>'Model'!$V$31</f>
        <v/>
      </c>
      <c r="AE14" s="29">
        <f>'Model'!$W$31</f>
        <v/>
      </c>
      <c r="AF14" s="29">
        <f>'Model'!$X$31</f>
        <v/>
      </c>
      <c r="AG14" s="29">
        <f>'Model'!$Y$31</f>
        <v/>
      </c>
      <c r="AH14" s="29">
        <f>'Model'!$Z$31</f>
        <v/>
      </c>
      <c r="AI14" s="29">
        <f>'Model'!$AA$31</f>
        <v/>
      </c>
      <c r="AJ14" s="29">
        <f>'Model'!$AB$31</f>
        <v/>
      </c>
      <c r="AK14" s="29">
        <f>'Model'!$AC$31</f>
        <v/>
      </c>
      <c r="AL14" s="29">
        <f>'Model'!$AD$31</f>
        <v/>
      </c>
      <c r="AM14" s="29">
        <f>'Model'!$AE$31</f>
        <v/>
      </c>
      <c r="AN14" s="29">
        <f>'Model'!$AF$31</f>
        <v/>
      </c>
      <c r="AO14" s="29">
        <f>'Model'!$AG$31</f>
        <v/>
      </c>
      <c r="AP14" s="29">
        <f>'Model'!$AH$31</f>
        <v/>
      </c>
      <c r="AQ14" s="29">
        <f>'Model'!$AI$31</f>
        <v/>
      </c>
    </row>
    <row r="15">
      <c r="B15" s="31" t="inlineStr">
        <is>
          <t>Y/Y %</t>
        </is>
      </c>
      <c r="C15" s="32" t="n"/>
      <c r="D15" s="32">
        <f>IFERROR(D14/C14-1,"")</f>
        <v/>
      </c>
      <c r="E15" s="32">
        <f>IFERROR(E14/D14-1,"")</f>
        <v/>
      </c>
      <c r="F15" s="32">
        <f>IFERROR(F14/E14-1,"")</f>
        <v/>
      </c>
      <c r="G15" s="32">
        <f>IFERROR(G14/F14-1,"")</f>
        <v/>
      </c>
      <c r="H15" s="32">
        <f>IFERROR(H14/G14-1,"")</f>
        <v/>
      </c>
      <c r="I15" s="32">
        <f>IFERROR(I14/H14-1,"")</f>
        <v/>
      </c>
      <c r="J15" s="32">
        <f>IFERROR(J14/I14-1,"")</f>
        <v/>
      </c>
      <c r="L15" s="32">
        <f>IFERROR(('Model'!$D$31 - 0) / 0, "")</f>
        <v/>
      </c>
      <c r="M15" s="32">
        <f>IFERROR(('Model'!$E$31 - 0) / 0, "")</f>
        <v/>
      </c>
      <c r="N15" s="32">
        <f>IFERROR(('Model'!$F$31 - 0) / 0, "")</f>
        <v/>
      </c>
      <c r="O15" s="32">
        <f>IFERROR(('Model'!$G$31 - 0) / 0, "")</f>
        <v/>
      </c>
      <c r="P15" s="32">
        <f>IFERROR(('Model'!$H$31 - 'Model'!$D$31) / 'Model'!$D$31, "")</f>
        <v/>
      </c>
      <c r="Q15" s="32">
        <f>IFERROR(('Model'!$I$31 - 'Model'!$E$31) / 'Model'!$E$31, "")</f>
        <v/>
      </c>
      <c r="R15" s="32">
        <f>IFERROR(('Model'!$J$31 - 'Model'!$F$31) / 'Model'!$F$31, "")</f>
        <v/>
      </c>
      <c r="S15" s="32">
        <f>IFERROR(('Model'!$K$31 - 'Model'!$G$31) / 'Model'!$G$31, "")</f>
        <v/>
      </c>
      <c r="T15" s="32">
        <f>IFERROR(('Model'!$L$31 - 'Model'!$H$31) / 'Model'!$H$31, "")</f>
        <v/>
      </c>
      <c r="U15" s="32">
        <f>IFERROR(('Model'!$M$31 - 'Model'!$I$31) / 'Model'!$I$31, "")</f>
        <v/>
      </c>
      <c r="V15" s="32">
        <f>IFERROR(('Model'!$N$31 - 'Model'!$J$31) / 'Model'!$J$31, "")</f>
        <v/>
      </c>
      <c r="W15" s="32">
        <f>IFERROR(('Model'!$O$31 - 'Model'!$K$31) / 'Model'!$K$31, "")</f>
        <v/>
      </c>
      <c r="X15" s="32">
        <f>IFERROR(('Model'!$P$31 - 'Model'!$L$31) / 'Model'!$L$31, "")</f>
        <v/>
      </c>
      <c r="Y15" s="32">
        <f>IFERROR(('Model'!$Q$31 - 'Model'!$M$31) / 'Model'!$M$31, "")</f>
        <v/>
      </c>
      <c r="Z15" s="32">
        <f>IFERROR(('Model'!$R$31 - 'Model'!$N$31) / 'Model'!$N$31, "")</f>
        <v/>
      </c>
      <c r="AA15" s="32">
        <f>IFERROR(('Model'!$S$31 - 'Model'!$O$31) / 'Model'!$O$31, "")</f>
        <v/>
      </c>
      <c r="AB15" s="32">
        <f>IFERROR(('Model'!$T$31 - 'Model'!$P$31) / 'Model'!$P$31, "")</f>
        <v/>
      </c>
      <c r="AC15" s="32">
        <f>IFERROR(('Model'!$U$31 - 'Model'!$Q$31) / 'Model'!$Q$31, "")</f>
        <v/>
      </c>
      <c r="AD15" s="32">
        <f>IFERROR(('Model'!$V$31 - 'Model'!$R$31) / 'Model'!$R$31, "")</f>
        <v/>
      </c>
      <c r="AE15" s="32">
        <f>IFERROR(('Model'!$W$31 - 'Model'!$S$31) / 'Model'!$S$31, "")</f>
        <v/>
      </c>
      <c r="AF15" s="32">
        <f>IFERROR(('Model'!$X$31 - 'Model'!$T$31) / 'Model'!$T$31, "")</f>
        <v/>
      </c>
      <c r="AG15" s="32">
        <f>IFERROR(('Model'!$Y$31 - 'Model'!$U$31) / 'Model'!$U$31, "")</f>
        <v/>
      </c>
      <c r="AH15" s="32">
        <f>IFERROR(('Model'!$Z$31 - 'Model'!$V$31) / 'Model'!$V$31, "")</f>
        <v/>
      </c>
      <c r="AI15" s="32">
        <f>IFERROR(('Model'!$AA$31 - 'Model'!$W$31) / 'Model'!$W$31, "")</f>
        <v/>
      </c>
      <c r="AJ15" s="32">
        <f>IFERROR(('Model'!$AB$31 - 'Model'!$X$31) / 'Model'!$X$31, "")</f>
        <v/>
      </c>
      <c r="AK15" s="32">
        <f>IFERROR(('Model'!$AC$31 - 'Model'!$Y$31) / 'Model'!$Y$31, "")</f>
        <v/>
      </c>
      <c r="AL15" s="32">
        <f>IFERROR(('Model'!$AD$31 - 'Model'!$Z$31) / 'Model'!$Z$31, "")</f>
        <v/>
      </c>
      <c r="AM15" s="32">
        <f>IFERROR(('Model'!$AE$31 - 'Model'!$AA$31) / 'Model'!$AA$31, "")</f>
        <v/>
      </c>
      <c r="AN15" s="32">
        <f>IFERROR(('Model'!$AF$31 - 'Model'!$AB$31) / 'Model'!$AB$31, "")</f>
        <v/>
      </c>
      <c r="AO15" s="32">
        <f>IFERROR(('Model'!$AG$31 - 'Model'!$AC$31) / 'Model'!$AC$31, "")</f>
        <v/>
      </c>
      <c r="AP15" s="32">
        <f>IFERROR(('Model'!$AH$31 - 'Model'!$AD$31) / 'Model'!$AD$31, "")</f>
        <v/>
      </c>
      <c r="AQ15" s="32">
        <f>IFERROR(('Model'!$AI$31 - 'Model'!$AE$31) / 'Model'!$AE$31, "")</f>
        <v/>
      </c>
    </row>
    <row r="16" ht="6" customHeight="1">
      <c r="B16" s="30" t="n"/>
      <c r="C16" s="30" t="n"/>
      <c r="D16" s="30" t="n"/>
      <c r="E16" s="30" t="n"/>
      <c r="F16" s="30" t="n"/>
      <c r="G16" s="30" t="n"/>
      <c r="H16" s="30" t="n"/>
      <c r="I16" s="30" t="n"/>
      <c r="J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  <c r="AB16" s="30" t="n"/>
      <c r="AC16" s="30" t="n"/>
      <c r="AD16" s="30" t="n"/>
      <c r="AE16" s="30" t="n"/>
      <c r="AF16" s="30" t="n"/>
      <c r="AG16" s="30" t="n"/>
      <c r="AH16" s="30" t="n"/>
      <c r="AI16" s="30" t="n"/>
      <c r="AJ16" s="30" t="n"/>
      <c r="AK16" s="30" t="n"/>
      <c r="AL16" s="30" t="n"/>
      <c r="AM16" s="30" t="n"/>
      <c r="AN16" s="30" t="n"/>
      <c r="AO16" s="30" t="n"/>
      <c r="AP16" s="30" t="n"/>
      <c r="AQ16" s="30" t="n"/>
    </row>
    <row r="17">
      <c r="B17" s="26" t="inlineStr">
        <is>
          <t>T&amp;M Material COGS</t>
        </is>
      </c>
      <c r="C17" s="27">
        <f>SUM(L17:O17)</f>
        <v/>
      </c>
      <c r="D17" s="27">
        <f>SUM(P17:S17)</f>
        <v/>
      </c>
      <c r="E17" s="27">
        <f>SUM(T17:W17)</f>
        <v/>
      </c>
      <c r="F17" s="27">
        <f>SUM(X17:AA17)</f>
        <v/>
      </c>
      <c r="G17" s="27">
        <f>SUM(AB17:AE17)</f>
        <v/>
      </c>
      <c r="H17" s="27">
        <f>SUM(AF17:AI17)</f>
        <v/>
      </c>
      <c r="I17" s="27">
        <f>SUM(AJ17:AM17)</f>
        <v/>
      </c>
      <c r="J17" s="27">
        <f>SUM(AN17:AQ17)</f>
        <v/>
      </c>
      <c r="L17" s="27">
        <f>'Model'!$D$33</f>
        <v/>
      </c>
      <c r="M17" s="27">
        <f>'Model'!$E$33</f>
        <v/>
      </c>
      <c r="N17" s="27">
        <f>'Model'!$F$33</f>
        <v/>
      </c>
      <c r="O17" s="27">
        <f>'Model'!$G$33</f>
        <v/>
      </c>
      <c r="P17" s="27">
        <f>'Model'!$H$33</f>
        <v/>
      </c>
      <c r="Q17" s="27">
        <f>'Model'!$I$33</f>
        <v/>
      </c>
      <c r="R17" s="27">
        <f>'Model'!$J$33</f>
        <v/>
      </c>
      <c r="S17" s="27">
        <f>'Model'!$K$33</f>
        <v/>
      </c>
      <c r="T17" s="27">
        <f>'Model'!$L$33</f>
        <v/>
      </c>
      <c r="U17" s="27">
        <f>'Model'!$M$33</f>
        <v/>
      </c>
      <c r="V17" s="27">
        <f>'Model'!$N$33</f>
        <v/>
      </c>
      <c r="W17" s="27">
        <f>'Model'!$O$33</f>
        <v/>
      </c>
      <c r="X17" s="27">
        <f>'Model'!$P$33</f>
        <v/>
      </c>
      <c r="Y17" s="27">
        <f>'Model'!$Q$33</f>
        <v/>
      </c>
      <c r="Z17" s="27">
        <f>'Model'!$R$33</f>
        <v/>
      </c>
      <c r="AA17" s="27">
        <f>'Model'!$S$33</f>
        <v/>
      </c>
      <c r="AB17" s="27">
        <f>'Model'!$T$33</f>
        <v/>
      </c>
      <c r="AC17" s="27">
        <f>'Model'!$U$33</f>
        <v/>
      </c>
      <c r="AD17" s="27">
        <f>'Model'!$V$33</f>
        <v/>
      </c>
      <c r="AE17" s="27">
        <f>'Model'!$W$33</f>
        <v/>
      </c>
      <c r="AF17" s="27">
        <f>'Model'!$X$33</f>
        <v/>
      </c>
      <c r="AG17" s="27">
        <f>'Model'!$Y$33</f>
        <v/>
      </c>
      <c r="AH17" s="27">
        <f>'Model'!$Z$33</f>
        <v/>
      </c>
      <c r="AI17" s="27">
        <f>'Model'!$AA$33</f>
        <v/>
      </c>
      <c r="AJ17" s="27">
        <f>'Model'!$AB$33</f>
        <v/>
      </c>
      <c r="AK17" s="27">
        <f>'Model'!$AC$33</f>
        <v/>
      </c>
      <c r="AL17" s="27">
        <f>'Model'!$AD$33</f>
        <v/>
      </c>
      <c r="AM17" s="27">
        <f>'Model'!$AE$33</f>
        <v/>
      </c>
      <c r="AN17" s="27">
        <f>'Model'!$AF$33</f>
        <v/>
      </c>
      <c r="AO17" s="27">
        <f>'Model'!$AG$33</f>
        <v/>
      </c>
      <c r="AP17" s="27">
        <f>'Model'!$AH$33</f>
        <v/>
      </c>
      <c r="AQ17" s="27">
        <f>'Model'!$AI$33</f>
        <v/>
      </c>
    </row>
    <row r="18">
      <c r="B18" s="26" t="inlineStr">
        <is>
          <t>T&amp;M Labour COGS</t>
        </is>
      </c>
      <c r="C18" s="27">
        <f>SUM(L18:O18)</f>
        <v/>
      </c>
      <c r="D18" s="27">
        <f>SUM(P18:S18)</f>
        <v/>
      </c>
      <c r="E18" s="27">
        <f>SUM(T18:W18)</f>
        <v/>
      </c>
      <c r="F18" s="27">
        <f>SUM(X18:AA18)</f>
        <v/>
      </c>
      <c r="G18" s="27">
        <f>SUM(AB18:AE18)</f>
        <v/>
      </c>
      <c r="H18" s="27">
        <f>SUM(AF18:AI18)</f>
        <v/>
      </c>
      <c r="I18" s="27">
        <f>SUM(AJ18:AM18)</f>
        <v/>
      </c>
      <c r="J18" s="27">
        <f>SUM(AN18:AQ18)</f>
        <v/>
      </c>
      <c r="L18" s="27">
        <f>'Model'!$D$34</f>
        <v/>
      </c>
      <c r="M18" s="27">
        <f>'Model'!$E$34</f>
        <v/>
      </c>
      <c r="N18" s="27">
        <f>'Model'!$F$34</f>
        <v/>
      </c>
      <c r="O18" s="27">
        <f>'Model'!$G$34</f>
        <v/>
      </c>
      <c r="P18" s="27">
        <f>'Model'!$H$34</f>
        <v/>
      </c>
      <c r="Q18" s="27">
        <f>'Model'!$I$34</f>
        <v/>
      </c>
      <c r="R18" s="27">
        <f>'Model'!$J$34</f>
        <v/>
      </c>
      <c r="S18" s="27">
        <f>'Model'!$K$34</f>
        <v/>
      </c>
      <c r="T18" s="27">
        <f>'Model'!$L$34</f>
        <v/>
      </c>
      <c r="U18" s="27">
        <f>'Model'!$M$34</f>
        <v/>
      </c>
      <c r="V18" s="27">
        <f>'Model'!$N$34</f>
        <v/>
      </c>
      <c r="W18" s="27">
        <f>'Model'!$O$34</f>
        <v/>
      </c>
      <c r="X18" s="27">
        <f>'Model'!$P$34</f>
        <v/>
      </c>
      <c r="Y18" s="27">
        <f>'Model'!$Q$34</f>
        <v/>
      </c>
      <c r="Z18" s="27">
        <f>'Model'!$R$34</f>
        <v/>
      </c>
      <c r="AA18" s="27">
        <f>'Model'!$S$34</f>
        <v/>
      </c>
      <c r="AB18" s="27">
        <f>'Model'!$T$34</f>
        <v/>
      </c>
      <c r="AC18" s="27">
        <f>'Model'!$U$34</f>
        <v/>
      </c>
      <c r="AD18" s="27">
        <f>'Model'!$V$34</f>
        <v/>
      </c>
      <c r="AE18" s="27">
        <f>'Model'!$W$34</f>
        <v/>
      </c>
      <c r="AF18" s="27">
        <f>'Model'!$X$34</f>
        <v/>
      </c>
      <c r="AG18" s="27">
        <f>'Model'!$Y$34</f>
        <v/>
      </c>
      <c r="AH18" s="27">
        <f>'Model'!$Z$34</f>
        <v/>
      </c>
      <c r="AI18" s="27">
        <f>'Model'!$AA$34</f>
        <v/>
      </c>
      <c r="AJ18" s="27">
        <f>'Model'!$AB$34</f>
        <v/>
      </c>
      <c r="AK18" s="27">
        <f>'Model'!$AC$34</f>
        <v/>
      </c>
      <c r="AL18" s="27">
        <f>'Model'!$AD$34</f>
        <v/>
      </c>
      <c r="AM18" s="27">
        <f>'Model'!$AE$34</f>
        <v/>
      </c>
      <c r="AN18" s="27">
        <f>'Model'!$AF$34</f>
        <v/>
      </c>
      <c r="AO18" s="27">
        <f>'Model'!$AG$34</f>
        <v/>
      </c>
      <c r="AP18" s="27">
        <f>'Model'!$AH$34</f>
        <v/>
      </c>
      <c r="AQ18" s="27">
        <f>'Model'!$AI$34</f>
        <v/>
      </c>
    </row>
    <row r="19">
      <c r="B19" s="26" t="inlineStr">
        <is>
          <t>Fixed-Price Cost of Revenue</t>
        </is>
      </c>
      <c r="C19" s="27">
        <f>SUM(L19:O19)</f>
        <v/>
      </c>
      <c r="D19" s="27">
        <f>SUM(P19:S19)</f>
        <v/>
      </c>
      <c r="E19" s="27">
        <f>SUM(T19:W19)</f>
        <v/>
      </c>
      <c r="F19" s="27">
        <f>SUM(X19:AA19)</f>
        <v/>
      </c>
      <c r="G19" s="27">
        <f>SUM(AB19:AE19)</f>
        <v/>
      </c>
      <c r="H19" s="27">
        <f>SUM(AF19:AI19)</f>
        <v/>
      </c>
      <c r="I19" s="27">
        <f>SUM(AJ19:AM19)</f>
        <v/>
      </c>
      <c r="J19" s="27">
        <f>SUM(AN19:AQ19)</f>
        <v/>
      </c>
      <c r="L19" s="27">
        <f>'Model'!$D$39</f>
        <v/>
      </c>
      <c r="M19" s="27">
        <f>'Model'!$E$39</f>
        <v/>
      </c>
      <c r="N19" s="27">
        <f>'Model'!$F$39</f>
        <v/>
      </c>
      <c r="O19" s="27">
        <f>'Model'!$G$39</f>
        <v/>
      </c>
      <c r="P19" s="27">
        <f>'Model'!$H$39</f>
        <v/>
      </c>
      <c r="Q19" s="27">
        <f>'Model'!$I$39</f>
        <v/>
      </c>
      <c r="R19" s="27">
        <f>'Model'!$J$39</f>
        <v/>
      </c>
      <c r="S19" s="27">
        <f>'Model'!$K$39</f>
        <v/>
      </c>
      <c r="T19" s="27">
        <f>'Model'!$L$39</f>
        <v/>
      </c>
      <c r="U19" s="27">
        <f>'Model'!$M$39</f>
        <v/>
      </c>
      <c r="V19" s="27">
        <f>'Model'!$N$39</f>
        <v/>
      </c>
      <c r="W19" s="27">
        <f>'Model'!$O$39</f>
        <v/>
      </c>
      <c r="X19" s="27">
        <f>'Model'!$P$39</f>
        <v/>
      </c>
      <c r="Y19" s="27">
        <f>'Model'!$Q$39</f>
        <v/>
      </c>
      <c r="Z19" s="27">
        <f>'Model'!$R$39</f>
        <v/>
      </c>
      <c r="AA19" s="27">
        <f>'Model'!$S$39</f>
        <v/>
      </c>
      <c r="AB19" s="27">
        <f>'Model'!$T$39</f>
        <v/>
      </c>
      <c r="AC19" s="27">
        <f>'Model'!$U$39</f>
        <v/>
      </c>
      <c r="AD19" s="27">
        <f>'Model'!$V$39</f>
        <v/>
      </c>
      <c r="AE19" s="27">
        <f>'Model'!$W$39</f>
        <v/>
      </c>
      <c r="AF19" s="27">
        <f>'Model'!$X$39</f>
        <v/>
      </c>
      <c r="AG19" s="27">
        <f>'Model'!$Y$39</f>
        <v/>
      </c>
      <c r="AH19" s="27">
        <f>'Model'!$Z$39</f>
        <v/>
      </c>
      <c r="AI19" s="27">
        <f>'Model'!$AA$39</f>
        <v/>
      </c>
      <c r="AJ19" s="27">
        <f>'Model'!$AB$39</f>
        <v/>
      </c>
      <c r="AK19" s="27">
        <f>'Model'!$AC$39</f>
        <v/>
      </c>
      <c r="AL19" s="27">
        <f>'Model'!$AD$39</f>
        <v/>
      </c>
      <c r="AM19" s="27">
        <f>'Model'!$AE$39</f>
        <v/>
      </c>
      <c r="AN19" s="27">
        <f>'Model'!$AF$39</f>
        <v/>
      </c>
      <c r="AO19" s="27">
        <f>'Model'!$AG$39</f>
        <v/>
      </c>
      <c r="AP19" s="27">
        <f>'Model'!$AH$39</f>
        <v/>
      </c>
      <c r="AQ19" s="27">
        <f>'Model'!$AI$39</f>
        <v/>
      </c>
    </row>
    <row r="20">
      <c r="B20" s="26" t="inlineStr">
        <is>
          <t>Series Production Cost of Revenue</t>
        </is>
      </c>
      <c r="C20" s="27">
        <f>SUM(L20:O20)</f>
        <v/>
      </c>
      <c r="D20" s="27">
        <f>SUM(P20:S20)</f>
        <v/>
      </c>
      <c r="E20" s="27">
        <f>SUM(T20:W20)</f>
        <v/>
      </c>
      <c r="F20" s="27">
        <f>SUM(X20:AA20)</f>
        <v/>
      </c>
      <c r="G20" s="27">
        <f>SUM(AB20:AE20)</f>
        <v/>
      </c>
      <c r="H20" s="27">
        <f>SUM(AF20:AI20)</f>
        <v/>
      </c>
      <c r="I20" s="27">
        <f>SUM(AJ20:AM20)</f>
        <v/>
      </c>
      <c r="J20" s="27">
        <f>SUM(AN20:AQ20)</f>
        <v/>
      </c>
      <c r="L20" s="27">
        <f>'Model'!$D$42</f>
        <v/>
      </c>
      <c r="M20" s="27">
        <f>'Model'!$E$42</f>
        <v/>
      </c>
      <c r="N20" s="27">
        <f>'Model'!$F$42</f>
        <v/>
      </c>
      <c r="O20" s="27">
        <f>'Model'!$G$42</f>
        <v/>
      </c>
      <c r="P20" s="27">
        <f>'Model'!$H$42</f>
        <v/>
      </c>
      <c r="Q20" s="27">
        <f>'Model'!$I$42</f>
        <v/>
      </c>
      <c r="R20" s="27">
        <f>'Model'!$J$42</f>
        <v/>
      </c>
      <c r="S20" s="27">
        <f>'Model'!$K$42</f>
        <v/>
      </c>
      <c r="T20" s="27">
        <f>'Model'!$L$42</f>
        <v/>
      </c>
      <c r="U20" s="27">
        <f>'Model'!$M$42</f>
        <v/>
      </c>
      <c r="V20" s="27">
        <f>'Model'!$N$42</f>
        <v/>
      </c>
      <c r="W20" s="27">
        <f>'Model'!$O$42</f>
        <v/>
      </c>
      <c r="X20" s="27">
        <f>'Model'!$P$42</f>
        <v/>
      </c>
      <c r="Y20" s="27">
        <f>'Model'!$Q$42</f>
        <v/>
      </c>
      <c r="Z20" s="27">
        <f>'Model'!$R$42</f>
        <v/>
      </c>
      <c r="AA20" s="27">
        <f>'Model'!$S$42</f>
        <v/>
      </c>
      <c r="AB20" s="27">
        <f>'Model'!$T$42</f>
        <v/>
      </c>
      <c r="AC20" s="27">
        <f>'Model'!$U$42</f>
        <v/>
      </c>
      <c r="AD20" s="27">
        <f>'Model'!$V$42</f>
        <v/>
      </c>
      <c r="AE20" s="27">
        <f>'Model'!$W$42</f>
        <v/>
      </c>
      <c r="AF20" s="27">
        <f>'Model'!$X$42</f>
        <v/>
      </c>
      <c r="AG20" s="27">
        <f>'Model'!$Y$42</f>
        <v/>
      </c>
      <c r="AH20" s="27">
        <f>'Model'!$Z$42</f>
        <v/>
      </c>
      <c r="AI20" s="27">
        <f>'Model'!$AA$42</f>
        <v/>
      </c>
      <c r="AJ20" s="27">
        <f>'Model'!$AB$42</f>
        <v/>
      </c>
      <c r="AK20" s="27">
        <f>'Model'!$AC$42</f>
        <v/>
      </c>
      <c r="AL20" s="27">
        <f>'Model'!$AD$42</f>
        <v/>
      </c>
      <c r="AM20" s="27">
        <f>'Model'!$AE$42</f>
        <v/>
      </c>
      <c r="AN20" s="27">
        <f>'Model'!$AF$42</f>
        <v/>
      </c>
      <c r="AO20" s="27">
        <f>'Model'!$AG$42</f>
        <v/>
      </c>
      <c r="AP20" s="27">
        <f>'Model'!$AH$42</f>
        <v/>
      </c>
      <c r="AQ20" s="27">
        <f>'Model'!$AI$42</f>
        <v/>
      </c>
    </row>
    <row r="21">
      <c r="B21" s="28" t="inlineStr">
        <is>
          <t>Total Cost of Revenue</t>
        </is>
      </c>
      <c r="C21" s="29">
        <f>SUM(L21:O21)</f>
        <v/>
      </c>
      <c r="D21" s="29">
        <f>SUM(P21:S21)</f>
        <v/>
      </c>
      <c r="E21" s="29">
        <f>SUM(T21:W21)</f>
        <v/>
      </c>
      <c r="F21" s="29">
        <f>SUM(X21:AA21)</f>
        <v/>
      </c>
      <c r="G21" s="29">
        <f>SUM(AB21:AE21)</f>
        <v/>
      </c>
      <c r="H21" s="29">
        <f>SUM(AF21:AI21)</f>
        <v/>
      </c>
      <c r="I21" s="29">
        <f>SUM(AJ21:AM21)</f>
        <v/>
      </c>
      <c r="J21" s="29">
        <f>SUM(AN21:AQ21)</f>
        <v/>
      </c>
      <c r="L21" s="29">
        <f>'Model'!$D$44</f>
        <v/>
      </c>
      <c r="M21" s="29">
        <f>'Model'!$E$44</f>
        <v/>
      </c>
      <c r="N21" s="29">
        <f>'Model'!$F$44</f>
        <v/>
      </c>
      <c r="O21" s="29">
        <f>'Model'!$G$44</f>
        <v/>
      </c>
      <c r="P21" s="29">
        <f>'Model'!$H$44</f>
        <v/>
      </c>
      <c r="Q21" s="29">
        <f>'Model'!$I$44</f>
        <v/>
      </c>
      <c r="R21" s="29">
        <f>'Model'!$J$44</f>
        <v/>
      </c>
      <c r="S21" s="29">
        <f>'Model'!$K$44</f>
        <v/>
      </c>
      <c r="T21" s="29">
        <f>'Model'!$L$44</f>
        <v/>
      </c>
      <c r="U21" s="29">
        <f>'Model'!$M$44</f>
        <v/>
      </c>
      <c r="V21" s="29">
        <f>'Model'!$N$44</f>
        <v/>
      </c>
      <c r="W21" s="29">
        <f>'Model'!$O$44</f>
        <v/>
      </c>
      <c r="X21" s="29">
        <f>'Model'!$P$44</f>
        <v/>
      </c>
      <c r="Y21" s="29">
        <f>'Model'!$Q$44</f>
        <v/>
      </c>
      <c r="Z21" s="29">
        <f>'Model'!$R$44</f>
        <v/>
      </c>
      <c r="AA21" s="29">
        <f>'Model'!$S$44</f>
        <v/>
      </c>
      <c r="AB21" s="29">
        <f>'Model'!$T$44</f>
        <v/>
      </c>
      <c r="AC21" s="29">
        <f>'Model'!$U$44</f>
        <v/>
      </c>
      <c r="AD21" s="29">
        <f>'Model'!$V$44</f>
        <v/>
      </c>
      <c r="AE21" s="29">
        <f>'Model'!$W$44</f>
        <v/>
      </c>
      <c r="AF21" s="29">
        <f>'Model'!$X$44</f>
        <v/>
      </c>
      <c r="AG21" s="29">
        <f>'Model'!$Y$44</f>
        <v/>
      </c>
      <c r="AH21" s="29">
        <f>'Model'!$Z$44</f>
        <v/>
      </c>
      <c r="AI21" s="29">
        <f>'Model'!$AA$44</f>
        <v/>
      </c>
      <c r="AJ21" s="29">
        <f>'Model'!$AB$44</f>
        <v/>
      </c>
      <c r="AK21" s="29">
        <f>'Model'!$AC$44</f>
        <v/>
      </c>
      <c r="AL21" s="29">
        <f>'Model'!$AD$44</f>
        <v/>
      </c>
      <c r="AM21" s="29">
        <f>'Model'!$AE$44</f>
        <v/>
      </c>
      <c r="AN21" s="29">
        <f>'Model'!$AF$44</f>
        <v/>
      </c>
      <c r="AO21" s="29">
        <f>'Model'!$AG$44</f>
        <v/>
      </c>
      <c r="AP21" s="29">
        <f>'Model'!$AH$44</f>
        <v/>
      </c>
      <c r="AQ21" s="29">
        <f>'Model'!$AI$44</f>
        <v/>
      </c>
    </row>
    <row r="22" ht="6" customHeight="1"/>
    <row r="23">
      <c r="B23" s="28" t="inlineStr">
        <is>
          <t>Gross Profit</t>
        </is>
      </c>
      <c r="C23" s="29">
        <f>SUM(L23:O23)</f>
        <v/>
      </c>
      <c r="D23" s="29">
        <f>SUM(P23:S23)</f>
        <v/>
      </c>
      <c r="E23" s="29">
        <f>SUM(T23:W23)</f>
        <v/>
      </c>
      <c r="F23" s="29">
        <f>SUM(X23:AA23)</f>
        <v/>
      </c>
      <c r="G23" s="29">
        <f>SUM(AB23:AE23)</f>
        <v/>
      </c>
      <c r="H23" s="29">
        <f>SUM(AF23:AI23)</f>
        <v/>
      </c>
      <c r="I23" s="29">
        <f>SUM(AJ23:AM23)</f>
        <v/>
      </c>
      <c r="J23" s="29">
        <f>SUM(AN23:AQ23)</f>
        <v/>
      </c>
      <c r="L23" s="29">
        <f>'Model'!$D$46</f>
        <v/>
      </c>
      <c r="M23" s="29">
        <f>'Model'!$E$46</f>
        <v/>
      </c>
      <c r="N23" s="29">
        <f>'Model'!$F$46</f>
        <v/>
      </c>
      <c r="O23" s="29">
        <f>'Model'!$G$46</f>
        <v/>
      </c>
      <c r="P23" s="29">
        <f>'Model'!$H$46</f>
        <v/>
      </c>
      <c r="Q23" s="29">
        <f>'Model'!$I$46</f>
        <v/>
      </c>
      <c r="R23" s="29">
        <f>'Model'!$J$46</f>
        <v/>
      </c>
      <c r="S23" s="29">
        <f>'Model'!$K$46</f>
        <v/>
      </c>
      <c r="T23" s="29">
        <f>'Model'!$L$46</f>
        <v/>
      </c>
      <c r="U23" s="29">
        <f>'Model'!$M$46</f>
        <v/>
      </c>
      <c r="V23" s="29">
        <f>'Model'!$N$46</f>
        <v/>
      </c>
      <c r="W23" s="29">
        <f>'Model'!$O$46</f>
        <v/>
      </c>
      <c r="X23" s="29">
        <f>'Model'!$P$46</f>
        <v/>
      </c>
      <c r="Y23" s="29">
        <f>'Model'!$Q$46</f>
        <v/>
      </c>
      <c r="Z23" s="29">
        <f>'Model'!$R$46</f>
        <v/>
      </c>
      <c r="AA23" s="29">
        <f>'Model'!$S$46</f>
        <v/>
      </c>
      <c r="AB23" s="29">
        <f>'Model'!$T$46</f>
        <v/>
      </c>
      <c r="AC23" s="29">
        <f>'Model'!$U$46</f>
        <v/>
      </c>
      <c r="AD23" s="29">
        <f>'Model'!$V$46</f>
        <v/>
      </c>
      <c r="AE23" s="29">
        <f>'Model'!$W$46</f>
        <v/>
      </c>
      <c r="AF23" s="29">
        <f>'Model'!$X$46</f>
        <v/>
      </c>
      <c r="AG23" s="29">
        <f>'Model'!$Y$46</f>
        <v/>
      </c>
      <c r="AH23" s="29">
        <f>'Model'!$Z$46</f>
        <v/>
      </c>
      <c r="AI23" s="29">
        <f>'Model'!$AA$46</f>
        <v/>
      </c>
      <c r="AJ23" s="29">
        <f>'Model'!$AB$46</f>
        <v/>
      </c>
      <c r="AK23" s="29">
        <f>'Model'!$AC$46</f>
        <v/>
      </c>
      <c r="AL23" s="29">
        <f>'Model'!$AD$46</f>
        <v/>
      </c>
      <c r="AM23" s="29">
        <f>'Model'!$AE$46</f>
        <v/>
      </c>
      <c r="AN23" s="29">
        <f>'Model'!$AF$46</f>
        <v/>
      </c>
      <c r="AO23" s="29">
        <f>'Model'!$AG$46</f>
        <v/>
      </c>
      <c r="AP23" s="29">
        <f>'Model'!$AH$46</f>
        <v/>
      </c>
      <c r="AQ23" s="29">
        <f>'Model'!$AI$46</f>
        <v/>
      </c>
    </row>
    <row r="24">
      <c r="B24" s="31" t="inlineStr">
        <is>
          <t>Margin %</t>
        </is>
      </c>
      <c r="C24" s="32">
        <f>IFERROR(C23/C14,"")</f>
        <v/>
      </c>
      <c r="D24" s="32">
        <f>IFERROR(D23/D14,"")</f>
        <v/>
      </c>
      <c r="E24" s="32">
        <f>IFERROR(E23/E14,"")</f>
        <v/>
      </c>
      <c r="F24" s="32">
        <f>IFERROR(F23/F14,"")</f>
        <v/>
      </c>
      <c r="G24" s="32">
        <f>IFERROR(G23/G14,"")</f>
        <v/>
      </c>
      <c r="H24" s="32">
        <f>IFERROR(H23/H14,"")</f>
        <v/>
      </c>
      <c r="I24" s="32">
        <f>IFERROR(I23/I14,"")</f>
        <v/>
      </c>
      <c r="J24" s="32">
        <f>IFERROR(J23/J14,"")</f>
        <v/>
      </c>
      <c r="L24" s="32">
        <f>IFERROR('Model'!$D$46 / 'Model'!$D$31, "")</f>
        <v/>
      </c>
      <c r="M24" s="32">
        <f>IFERROR('Model'!$E$46 / 'Model'!$E$31, "")</f>
        <v/>
      </c>
      <c r="N24" s="32">
        <f>IFERROR('Model'!$F$46 / 'Model'!$F$31, "")</f>
        <v/>
      </c>
      <c r="O24" s="32">
        <f>IFERROR('Model'!$G$46 / 'Model'!$G$31, "")</f>
        <v/>
      </c>
      <c r="P24" s="32">
        <f>IFERROR('Model'!$H$46 / 'Model'!$H$31, "")</f>
        <v/>
      </c>
      <c r="Q24" s="32">
        <f>IFERROR('Model'!$I$46 / 'Model'!$I$31, "")</f>
        <v/>
      </c>
      <c r="R24" s="32">
        <f>IFERROR('Model'!$J$46 / 'Model'!$J$31, "")</f>
        <v/>
      </c>
      <c r="S24" s="32">
        <f>IFERROR('Model'!$K$46 / 'Model'!$K$31, "")</f>
        <v/>
      </c>
      <c r="T24" s="32">
        <f>IFERROR('Model'!$L$46 / 'Model'!$L$31, "")</f>
        <v/>
      </c>
      <c r="U24" s="32">
        <f>IFERROR('Model'!$M$46 / 'Model'!$M$31, "")</f>
        <v/>
      </c>
      <c r="V24" s="32">
        <f>IFERROR('Model'!$N$46 / 'Model'!$N$31, "")</f>
        <v/>
      </c>
      <c r="W24" s="32">
        <f>IFERROR('Model'!$O$46 / 'Model'!$O$31, "")</f>
        <v/>
      </c>
      <c r="X24" s="32">
        <f>IFERROR('Model'!$P$46 / 'Model'!$P$31, "")</f>
        <v/>
      </c>
      <c r="Y24" s="32">
        <f>IFERROR('Model'!$Q$46 / 'Model'!$Q$31, "")</f>
        <v/>
      </c>
      <c r="Z24" s="32">
        <f>IFERROR('Model'!$R$46 / 'Model'!$R$31, "")</f>
        <v/>
      </c>
      <c r="AA24" s="32">
        <f>IFERROR('Model'!$S$46 / 'Model'!$S$31, "")</f>
        <v/>
      </c>
      <c r="AB24" s="32">
        <f>IFERROR('Model'!$T$46 / 'Model'!$T$31, "")</f>
        <v/>
      </c>
      <c r="AC24" s="32">
        <f>IFERROR('Model'!$U$46 / 'Model'!$U$31, "")</f>
        <v/>
      </c>
      <c r="AD24" s="32">
        <f>IFERROR('Model'!$V$46 / 'Model'!$V$31, "")</f>
        <v/>
      </c>
      <c r="AE24" s="32">
        <f>IFERROR('Model'!$W$46 / 'Model'!$W$31, "")</f>
        <v/>
      </c>
      <c r="AF24" s="32">
        <f>IFERROR('Model'!$X$46 / 'Model'!$X$31, "")</f>
        <v/>
      </c>
      <c r="AG24" s="32">
        <f>IFERROR('Model'!$Y$46 / 'Model'!$Y$31, "")</f>
        <v/>
      </c>
      <c r="AH24" s="32">
        <f>IFERROR('Model'!$Z$46 / 'Model'!$Z$31, "")</f>
        <v/>
      </c>
      <c r="AI24" s="32">
        <f>IFERROR('Model'!$AA$46 / 'Model'!$AA$31, "")</f>
        <v/>
      </c>
      <c r="AJ24" s="32">
        <f>IFERROR('Model'!$AB$46 / 'Model'!$AB$31, "")</f>
        <v/>
      </c>
      <c r="AK24" s="32">
        <f>IFERROR('Model'!$AC$46 / 'Model'!$AC$31, "")</f>
        <v/>
      </c>
      <c r="AL24" s="32">
        <f>IFERROR('Model'!$AD$46 / 'Model'!$AD$31, "")</f>
        <v/>
      </c>
      <c r="AM24" s="32">
        <f>IFERROR('Model'!$AE$46 / 'Model'!$AE$31, "")</f>
        <v/>
      </c>
      <c r="AN24" s="32">
        <f>IFERROR('Model'!$AF$46 / 'Model'!$AF$31, "")</f>
        <v/>
      </c>
      <c r="AO24" s="32">
        <f>IFERROR('Model'!$AG$46 / 'Model'!$AG$31, "")</f>
        <v/>
      </c>
      <c r="AP24" s="32">
        <f>IFERROR('Model'!$AH$46 / 'Model'!$AH$31, "")</f>
        <v/>
      </c>
      <c r="AQ24" s="32">
        <f>IFERROR('Model'!$AI$46 / 'Model'!$AI$31, "")</f>
        <v/>
      </c>
    </row>
    <row r="25" ht="6" customHeight="1">
      <c r="B25" s="30" t="n"/>
      <c r="C25" s="30" t="n"/>
      <c r="D25" s="30" t="n"/>
      <c r="E25" s="30" t="n"/>
      <c r="F25" s="30" t="n"/>
      <c r="G25" s="30" t="n"/>
      <c r="H25" s="30" t="n"/>
      <c r="I25" s="30" t="n"/>
      <c r="J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  <c r="AB25" s="30" t="n"/>
      <c r="AC25" s="30" t="n"/>
      <c r="AD25" s="30" t="n"/>
      <c r="AE25" s="30" t="n"/>
      <c r="AF25" s="30" t="n"/>
      <c r="AG25" s="30" t="n"/>
      <c r="AH25" s="30" t="n"/>
      <c r="AI25" s="30" t="n"/>
      <c r="AJ25" s="30" t="n"/>
      <c r="AK25" s="30" t="n"/>
      <c r="AL25" s="30" t="n"/>
      <c r="AM25" s="30" t="n"/>
      <c r="AN25" s="30" t="n"/>
      <c r="AO25" s="30" t="n"/>
      <c r="AP25" s="30" t="n"/>
      <c r="AQ25" s="30" t="n"/>
    </row>
    <row r="26">
      <c r="B26" s="26" t="inlineStr">
        <is>
          <t>Sales &amp; Marketing</t>
        </is>
      </c>
      <c r="C26" s="27">
        <f>SUM(L26:O26)</f>
        <v/>
      </c>
      <c r="D26" s="27">
        <f>SUM(P26:S26)</f>
        <v/>
      </c>
      <c r="E26" s="27">
        <f>SUM(T26:W26)</f>
        <v/>
      </c>
      <c r="F26" s="27">
        <f>SUM(X26:AA26)</f>
        <v/>
      </c>
      <c r="G26" s="27">
        <f>SUM(AB26:AE26)</f>
        <v/>
      </c>
      <c r="H26" s="27">
        <f>SUM(AF26:AI26)</f>
        <v/>
      </c>
      <c r="I26" s="27">
        <f>SUM(AJ26:AM26)</f>
        <v/>
      </c>
      <c r="J26" s="27">
        <f>SUM(AN26:AQ26)</f>
        <v/>
      </c>
      <c r="L26" s="27">
        <f>'Model'!$D$49</f>
        <v/>
      </c>
      <c r="M26" s="27">
        <f>'Model'!$E$49</f>
        <v/>
      </c>
      <c r="N26" s="27">
        <f>'Model'!$F$49</f>
        <v/>
      </c>
      <c r="O26" s="27">
        <f>'Model'!$G$49</f>
        <v/>
      </c>
      <c r="P26" s="27">
        <f>'Model'!$H$49</f>
        <v/>
      </c>
      <c r="Q26" s="27">
        <f>'Model'!$I$49</f>
        <v/>
      </c>
      <c r="R26" s="27">
        <f>'Model'!$J$49</f>
        <v/>
      </c>
      <c r="S26" s="27">
        <f>'Model'!$K$49</f>
        <v/>
      </c>
      <c r="T26" s="27">
        <f>'Model'!$L$49</f>
        <v/>
      </c>
      <c r="U26" s="27">
        <f>'Model'!$M$49</f>
        <v/>
      </c>
      <c r="V26" s="27">
        <f>'Model'!$N$49</f>
        <v/>
      </c>
      <c r="W26" s="27">
        <f>'Model'!$O$49</f>
        <v/>
      </c>
      <c r="X26" s="27">
        <f>'Model'!$P$49</f>
        <v/>
      </c>
      <c r="Y26" s="27">
        <f>'Model'!$Q$49</f>
        <v/>
      </c>
      <c r="Z26" s="27">
        <f>'Model'!$R$49</f>
        <v/>
      </c>
      <c r="AA26" s="27">
        <f>'Model'!$S$49</f>
        <v/>
      </c>
      <c r="AB26" s="27">
        <f>'Model'!$T$49</f>
        <v/>
      </c>
      <c r="AC26" s="27">
        <f>'Model'!$U$49</f>
        <v/>
      </c>
      <c r="AD26" s="27">
        <f>'Model'!$V$49</f>
        <v/>
      </c>
      <c r="AE26" s="27">
        <f>'Model'!$W$49</f>
        <v/>
      </c>
      <c r="AF26" s="27">
        <f>'Model'!$X$49</f>
        <v/>
      </c>
      <c r="AG26" s="27">
        <f>'Model'!$Y$49</f>
        <v/>
      </c>
      <c r="AH26" s="27">
        <f>'Model'!$Z$49</f>
        <v/>
      </c>
      <c r="AI26" s="27">
        <f>'Model'!$AA$49</f>
        <v/>
      </c>
      <c r="AJ26" s="27">
        <f>'Model'!$AB$49</f>
        <v/>
      </c>
      <c r="AK26" s="27">
        <f>'Model'!$AC$49</f>
        <v/>
      </c>
      <c r="AL26" s="27">
        <f>'Model'!$AD$49</f>
        <v/>
      </c>
      <c r="AM26" s="27">
        <f>'Model'!$AE$49</f>
        <v/>
      </c>
      <c r="AN26" s="27">
        <f>'Model'!$AF$49</f>
        <v/>
      </c>
      <c r="AO26" s="27">
        <f>'Model'!$AG$49</f>
        <v/>
      </c>
      <c r="AP26" s="27">
        <f>'Model'!$AH$49</f>
        <v/>
      </c>
      <c r="AQ26" s="27">
        <f>'Model'!$AI$49</f>
        <v/>
      </c>
    </row>
    <row r="27">
      <c r="B27" s="26" t="inlineStr">
        <is>
          <t>General &amp; Administrative</t>
        </is>
      </c>
      <c r="C27" s="27">
        <f>SUM(L27:O27)</f>
        <v/>
      </c>
      <c r="D27" s="27">
        <f>SUM(P27:S27)</f>
        <v/>
      </c>
      <c r="E27" s="27">
        <f>SUM(T27:W27)</f>
        <v/>
      </c>
      <c r="F27" s="27">
        <f>SUM(X27:AA27)</f>
        <v/>
      </c>
      <c r="G27" s="27">
        <f>SUM(AB27:AE27)</f>
        <v/>
      </c>
      <c r="H27" s="27">
        <f>SUM(AF27:AI27)</f>
        <v/>
      </c>
      <c r="I27" s="27">
        <f>SUM(AJ27:AM27)</f>
        <v/>
      </c>
      <c r="J27" s="27">
        <f>SUM(AN27:AQ27)</f>
        <v/>
      </c>
      <c r="L27" s="27">
        <f>'Model'!$D$50</f>
        <v/>
      </c>
      <c r="M27" s="27">
        <f>'Model'!$E$50</f>
        <v/>
      </c>
      <c r="N27" s="27">
        <f>'Model'!$F$50</f>
        <v/>
      </c>
      <c r="O27" s="27">
        <f>'Model'!$G$50</f>
        <v/>
      </c>
      <c r="P27" s="27">
        <f>'Model'!$H$50</f>
        <v/>
      </c>
      <c r="Q27" s="27">
        <f>'Model'!$I$50</f>
        <v/>
      </c>
      <c r="R27" s="27">
        <f>'Model'!$J$50</f>
        <v/>
      </c>
      <c r="S27" s="27">
        <f>'Model'!$K$50</f>
        <v/>
      </c>
      <c r="T27" s="27">
        <f>'Model'!$L$50</f>
        <v/>
      </c>
      <c r="U27" s="27">
        <f>'Model'!$M$50</f>
        <v/>
      </c>
      <c r="V27" s="27">
        <f>'Model'!$N$50</f>
        <v/>
      </c>
      <c r="W27" s="27">
        <f>'Model'!$O$50</f>
        <v/>
      </c>
      <c r="X27" s="27">
        <f>'Model'!$P$50</f>
        <v/>
      </c>
      <c r="Y27" s="27">
        <f>'Model'!$Q$50</f>
        <v/>
      </c>
      <c r="Z27" s="27">
        <f>'Model'!$R$50</f>
        <v/>
      </c>
      <c r="AA27" s="27">
        <f>'Model'!$S$50</f>
        <v/>
      </c>
      <c r="AB27" s="27">
        <f>'Model'!$T$50</f>
        <v/>
      </c>
      <c r="AC27" s="27">
        <f>'Model'!$U$50</f>
        <v/>
      </c>
      <c r="AD27" s="27">
        <f>'Model'!$V$50</f>
        <v/>
      </c>
      <c r="AE27" s="27">
        <f>'Model'!$W$50</f>
        <v/>
      </c>
      <c r="AF27" s="27">
        <f>'Model'!$X$50</f>
        <v/>
      </c>
      <c r="AG27" s="27">
        <f>'Model'!$Y$50</f>
        <v/>
      </c>
      <c r="AH27" s="27">
        <f>'Model'!$Z$50</f>
        <v/>
      </c>
      <c r="AI27" s="27">
        <f>'Model'!$AA$50</f>
        <v/>
      </c>
      <c r="AJ27" s="27">
        <f>'Model'!$AB$50</f>
        <v/>
      </c>
      <c r="AK27" s="27">
        <f>'Model'!$AC$50</f>
        <v/>
      </c>
      <c r="AL27" s="27">
        <f>'Model'!$AD$50</f>
        <v/>
      </c>
      <c r="AM27" s="27">
        <f>'Model'!$AE$50</f>
        <v/>
      </c>
      <c r="AN27" s="27">
        <f>'Model'!$AF$50</f>
        <v/>
      </c>
      <c r="AO27" s="27">
        <f>'Model'!$AG$50</f>
        <v/>
      </c>
      <c r="AP27" s="27">
        <f>'Model'!$AH$50</f>
        <v/>
      </c>
      <c r="AQ27" s="27">
        <f>'Model'!$AI$50</f>
        <v/>
      </c>
    </row>
    <row r="28">
      <c r="B28" s="26" t="inlineStr">
        <is>
          <t>Overhead (indirect ops)</t>
        </is>
      </c>
      <c r="C28" s="27">
        <f>SUM(L28:O28)</f>
        <v/>
      </c>
      <c r="D28" s="27">
        <f>SUM(P28:S28)</f>
        <v/>
      </c>
      <c r="E28" s="27">
        <f>SUM(T28:W28)</f>
        <v/>
      </c>
      <c r="F28" s="27">
        <f>SUM(X28:AA28)</f>
        <v/>
      </c>
      <c r="G28" s="27">
        <f>SUM(AB28:AE28)</f>
        <v/>
      </c>
      <c r="H28" s="27">
        <f>SUM(AF28:AI28)</f>
        <v/>
      </c>
      <c r="I28" s="27">
        <f>SUM(AJ28:AM28)</f>
        <v/>
      </c>
      <c r="J28" s="27">
        <f>SUM(AN28:AQ28)</f>
        <v/>
      </c>
      <c r="L28" s="27">
        <f>'Model'!$D$51</f>
        <v/>
      </c>
      <c r="M28" s="27">
        <f>'Model'!$E$51</f>
        <v/>
      </c>
      <c r="N28" s="27">
        <f>'Model'!$F$51</f>
        <v/>
      </c>
      <c r="O28" s="27">
        <f>'Model'!$G$51</f>
        <v/>
      </c>
      <c r="P28" s="27">
        <f>'Model'!$H$51</f>
        <v/>
      </c>
      <c r="Q28" s="27">
        <f>'Model'!$I$51</f>
        <v/>
      </c>
      <c r="R28" s="27">
        <f>'Model'!$J$51</f>
        <v/>
      </c>
      <c r="S28" s="27">
        <f>'Model'!$K$51</f>
        <v/>
      </c>
      <c r="T28" s="27">
        <f>'Model'!$L$51</f>
        <v/>
      </c>
      <c r="U28" s="27">
        <f>'Model'!$M$51</f>
        <v/>
      </c>
      <c r="V28" s="27">
        <f>'Model'!$N$51</f>
        <v/>
      </c>
      <c r="W28" s="27">
        <f>'Model'!$O$51</f>
        <v/>
      </c>
      <c r="X28" s="27">
        <f>'Model'!$P$51</f>
        <v/>
      </c>
      <c r="Y28" s="27">
        <f>'Model'!$Q$51</f>
        <v/>
      </c>
      <c r="Z28" s="27">
        <f>'Model'!$R$51</f>
        <v/>
      </c>
      <c r="AA28" s="27">
        <f>'Model'!$S$51</f>
        <v/>
      </c>
      <c r="AB28" s="27">
        <f>'Model'!$T$51</f>
        <v/>
      </c>
      <c r="AC28" s="27">
        <f>'Model'!$U$51</f>
        <v/>
      </c>
      <c r="AD28" s="27">
        <f>'Model'!$V$51</f>
        <v/>
      </c>
      <c r="AE28" s="27">
        <f>'Model'!$W$51</f>
        <v/>
      </c>
      <c r="AF28" s="27">
        <f>'Model'!$X$51</f>
        <v/>
      </c>
      <c r="AG28" s="27">
        <f>'Model'!$Y$51</f>
        <v/>
      </c>
      <c r="AH28" s="27">
        <f>'Model'!$Z$51</f>
        <v/>
      </c>
      <c r="AI28" s="27">
        <f>'Model'!$AA$51</f>
        <v/>
      </c>
      <c r="AJ28" s="27">
        <f>'Model'!$AB$51</f>
        <v/>
      </c>
      <c r="AK28" s="27">
        <f>'Model'!$AC$51</f>
        <v/>
      </c>
      <c r="AL28" s="27">
        <f>'Model'!$AD$51</f>
        <v/>
      </c>
      <c r="AM28" s="27">
        <f>'Model'!$AE$51</f>
        <v/>
      </c>
      <c r="AN28" s="27">
        <f>'Model'!$AF$51</f>
        <v/>
      </c>
      <c r="AO28" s="27">
        <f>'Model'!$AG$51</f>
        <v/>
      </c>
      <c r="AP28" s="27">
        <f>'Model'!$AH$51</f>
        <v/>
      </c>
      <c r="AQ28" s="27">
        <f>'Model'!$AI$51</f>
        <v/>
      </c>
    </row>
    <row r="29">
      <c r="B29" s="26" t="inlineStr">
        <is>
          <t>Fringe &amp; Benefits</t>
        </is>
      </c>
      <c r="C29" s="27">
        <f>SUM(L29:O29)</f>
        <v/>
      </c>
      <c r="D29" s="27">
        <f>SUM(P29:S29)</f>
        <v/>
      </c>
      <c r="E29" s="27">
        <f>SUM(T29:W29)</f>
        <v/>
      </c>
      <c r="F29" s="27">
        <f>SUM(X29:AA29)</f>
        <v/>
      </c>
      <c r="G29" s="27">
        <f>SUM(AB29:AE29)</f>
        <v/>
      </c>
      <c r="H29" s="27">
        <f>SUM(AF29:AI29)</f>
        <v/>
      </c>
      <c r="I29" s="27">
        <f>SUM(AJ29:AM29)</f>
        <v/>
      </c>
      <c r="J29" s="27">
        <f>SUM(AN29:AQ29)</f>
        <v/>
      </c>
      <c r="L29" s="27">
        <f>'Model'!$D$52</f>
        <v/>
      </c>
      <c r="M29" s="27">
        <f>'Model'!$E$52</f>
        <v/>
      </c>
      <c r="N29" s="27">
        <f>'Model'!$F$52</f>
        <v/>
      </c>
      <c r="O29" s="27">
        <f>'Model'!$G$52</f>
        <v/>
      </c>
      <c r="P29" s="27">
        <f>'Model'!$H$52</f>
        <v/>
      </c>
      <c r="Q29" s="27">
        <f>'Model'!$I$52</f>
        <v/>
      </c>
      <c r="R29" s="27">
        <f>'Model'!$J$52</f>
        <v/>
      </c>
      <c r="S29" s="27">
        <f>'Model'!$K$52</f>
        <v/>
      </c>
      <c r="T29" s="27">
        <f>'Model'!$L$52</f>
        <v/>
      </c>
      <c r="U29" s="27">
        <f>'Model'!$M$52</f>
        <v/>
      </c>
      <c r="V29" s="27">
        <f>'Model'!$N$52</f>
        <v/>
      </c>
      <c r="W29" s="27">
        <f>'Model'!$O$52</f>
        <v/>
      </c>
      <c r="X29" s="27">
        <f>'Model'!$P$52</f>
        <v/>
      </c>
      <c r="Y29" s="27">
        <f>'Model'!$Q$52</f>
        <v/>
      </c>
      <c r="Z29" s="27">
        <f>'Model'!$R$52</f>
        <v/>
      </c>
      <c r="AA29" s="27">
        <f>'Model'!$S$52</f>
        <v/>
      </c>
      <c r="AB29" s="27">
        <f>'Model'!$T$52</f>
        <v/>
      </c>
      <c r="AC29" s="27">
        <f>'Model'!$U$52</f>
        <v/>
      </c>
      <c r="AD29" s="27">
        <f>'Model'!$V$52</f>
        <v/>
      </c>
      <c r="AE29" s="27">
        <f>'Model'!$W$52</f>
        <v/>
      </c>
      <c r="AF29" s="27">
        <f>'Model'!$X$52</f>
        <v/>
      </c>
      <c r="AG29" s="27">
        <f>'Model'!$Y$52</f>
        <v/>
      </c>
      <c r="AH29" s="27">
        <f>'Model'!$Z$52</f>
        <v/>
      </c>
      <c r="AI29" s="27">
        <f>'Model'!$AA$52</f>
        <v/>
      </c>
      <c r="AJ29" s="27">
        <f>'Model'!$AB$52</f>
        <v/>
      </c>
      <c r="AK29" s="27">
        <f>'Model'!$AC$52</f>
        <v/>
      </c>
      <c r="AL29" s="27">
        <f>'Model'!$AD$52</f>
        <v/>
      </c>
      <c r="AM29" s="27">
        <f>'Model'!$AE$52</f>
        <v/>
      </c>
      <c r="AN29" s="27">
        <f>'Model'!$AF$52</f>
        <v/>
      </c>
      <c r="AO29" s="27">
        <f>'Model'!$AG$52</f>
        <v/>
      </c>
      <c r="AP29" s="27">
        <f>'Model'!$AH$52</f>
        <v/>
      </c>
      <c r="AQ29" s="27">
        <f>'Model'!$AI$52</f>
        <v/>
      </c>
    </row>
    <row r="30">
      <c r="B30" s="26" t="inlineStr">
        <is>
          <t>Facilities &amp; Occupancy</t>
        </is>
      </c>
      <c r="C30" s="27">
        <f>SUM(L30:O30)</f>
        <v/>
      </c>
      <c r="D30" s="27">
        <f>SUM(P30:S30)</f>
        <v/>
      </c>
      <c r="E30" s="27">
        <f>SUM(T30:W30)</f>
        <v/>
      </c>
      <c r="F30" s="27">
        <f>SUM(X30:AA30)</f>
        <v/>
      </c>
      <c r="G30" s="27">
        <f>SUM(AB30:AE30)</f>
        <v/>
      </c>
      <c r="H30" s="27">
        <f>SUM(AF30:AI30)</f>
        <v/>
      </c>
      <c r="I30" s="27">
        <f>SUM(AJ30:AM30)</f>
        <v/>
      </c>
      <c r="J30" s="27">
        <f>SUM(AN30:AQ30)</f>
        <v/>
      </c>
      <c r="L30" s="27">
        <f>'Model'!$D$53</f>
        <v/>
      </c>
      <c r="M30" s="27">
        <f>'Model'!$E$53</f>
        <v/>
      </c>
      <c r="N30" s="27">
        <f>'Model'!$F$53</f>
        <v/>
      </c>
      <c r="O30" s="27">
        <f>'Model'!$G$53</f>
        <v/>
      </c>
      <c r="P30" s="27">
        <f>'Model'!$H$53</f>
        <v/>
      </c>
      <c r="Q30" s="27">
        <f>'Model'!$I$53</f>
        <v/>
      </c>
      <c r="R30" s="27">
        <f>'Model'!$J$53</f>
        <v/>
      </c>
      <c r="S30" s="27">
        <f>'Model'!$K$53</f>
        <v/>
      </c>
      <c r="T30" s="27">
        <f>'Model'!$L$53</f>
        <v/>
      </c>
      <c r="U30" s="27">
        <f>'Model'!$M$53</f>
        <v/>
      </c>
      <c r="V30" s="27">
        <f>'Model'!$N$53</f>
        <v/>
      </c>
      <c r="W30" s="27">
        <f>'Model'!$O$53</f>
        <v/>
      </c>
      <c r="X30" s="27">
        <f>'Model'!$P$53</f>
        <v/>
      </c>
      <c r="Y30" s="27">
        <f>'Model'!$Q$53</f>
        <v/>
      </c>
      <c r="Z30" s="27">
        <f>'Model'!$R$53</f>
        <v/>
      </c>
      <c r="AA30" s="27">
        <f>'Model'!$S$53</f>
        <v/>
      </c>
      <c r="AB30" s="27">
        <f>'Model'!$T$53</f>
        <v/>
      </c>
      <c r="AC30" s="27">
        <f>'Model'!$U$53</f>
        <v/>
      </c>
      <c r="AD30" s="27">
        <f>'Model'!$V$53</f>
        <v/>
      </c>
      <c r="AE30" s="27">
        <f>'Model'!$W$53</f>
        <v/>
      </c>
      <c r="AF30" s="27">
        <f>'Model'!$X$53</f>
        <v/>
      </c>
      <c r="AG30" s="27">
        <f>'Model'!$Y$53</f>
        <v/>
      </c>
      <c r="AH30" s="27">
        <f>'Model'!$Z$53</f>
        <v/>
      </c>
      <c r="AI30" s="27">
        <f>'Model'!$AA$53</f>
        <v/>
      </c>
      <c r="AJ30" s="27">
        <f>'Model'!$AB$53</f>
        <v/>
      </c>
      <c r="AK30" s="27">
        <f>'Model'!$AC$53</f>
        <v/>
      </c>
      <c r="AL30" s="27">
        <f>'Model'!$AD$53</f>
        <v/>
      </c>
      <c r="AM30" s="27">
        <f>'Model'!$AE$53</f>
        <v/>
      </c>
      <c r="AN30" s="27">
        <f>'Model'!$AF$53</f>
        <v/>
      </c>
      <c r="AO30" s="27">
        <f>'Model'!$AG$53</f>
        <v/>
      </c>
      <c r="AP30" s="27">
        <f>'Model'!$AH$53</f>
        <v/>
      </c>
      <c r="AQ30" s="27">
        <f>'Model'!$AI$53</f>
        <v/>
      </c>
    </row>
    <row r="31">
      <c r="B31" s="28" t="inlineStr">
        <is>
          <t>Total Operating Expenses (ex D&amp;A)</t>
        </is>
      </c>
      <c r="C31" s="29">
        <f>SUM(L31:O31)</f>
        <v/>
      </c>
      <c r="D31" s="29">
        <f>SUM(P31:S31)</f>
        <v/>
      </c>
      <c r="E31" s="29">
        <f>SUM(T31:W31)</f>
        <v/>
      </c>
      <c r="F31" s="29">
        <f>SUM(X31:AA31)</f>
        <v/>
      </c>
      <c r="G31" s="29">
        <f>SUM(AB31:AE31)</f>
        <v/>
      </c>
      <c r="H31" s="29">
        <f>SUM(AF31:AI31)</f>
        <v/>
      </c>
      <c r="I31" s="29">
        <f>SUM(AJ31:AM31)</f>
        <v/>
      </c>
      <c r="J31" s="29">
        <f>SUM(AN31:AQ31)</f>
        <v/>
      </c>
      <c r="L31" s="29">
        <f>'Model'!$D$54</f>
        <v/>
      </c>
      <c r="M31" s="29">
        <f>'Model'!$E$54</f>
        <v/>
      </c>
      <c r="N31" s="29">
        <f>'Model'!$F$54</f>
        <v/>
      </c>
      <c r="O31" s="29">
        <f>'Model'!$G$54</f>
        <v/>
      </c>
      <c r="P31" s="29">
        <f>'Model'!$H$54</f>
        <v/>
      </c>
      <c r="Q31" s="29">
        <f>'Model'!$I$54</f>
        <v/>
      </c>
      <c r="R31" s="29">
        <f>'Model'!$J$54</f>
        <v/>
      </c>
      <c r="S31" s="29">
        <f>'Model'!$K$54</f>
        <v/>
      </c>
      <c r="T31" s="29">
        <f>'Model'!$L$54</f>
        <v/>
      </c>
      <c r="U31" s="29">
        <f>'Model'!$M$54</f>
        <v/>
      </c>
      <c r="V31" s="29">
        <f>'Model'!$N$54</f>
        <v/>
      </c>
      <c r="W31" s="29">
        <f>'Model'!$O$54</f>
        <v/>
      </c>
      <c r="X31" s="29">
        <f>'Model'!$P$54</f>
        <v/>
      </c>
      <c r="Y31" s="29">
        <f>'Model'!$Q$54</f>
        <v/>
      </c>
      <c r="Z31" s="29">
        <f>'Model'!$R$54</f>
        <v/>
      </c>
      <c r="AA31" s="29">
        <f>'Model'!$S$54</f>
        <v/>
      </c>
      <c r="AB31" s="29">
        <f>'Model'!$T$54</f>
        <v/>
      </c>
      <c r="AC31" s="29">
        <f>'Model'!$U$54</f>
        <v/>
      </c>
      <c r="AD31" s="29">
        <f>'Model'!$V$54</f>
        <v/>
      </c>
      <c r="AE31" s="29">
        <f>'Model'!$W$54</f>
        <v/>
      </c>
      <c r="AF31" s="29">
        <f>'Model'!$X$54</f>
        <v/>
      </c>
      <c r="AG31" s="29">
        <f>'Model'!$Y$54</f>
        <v/>
      </c>
      <c r="AH31" s="29">
        <f>'Model'!$Z$54</f>
        <v/>
      </c>
      <c r="AI31" s="29">
        <f>'Model'!$AA$54</f>
        <v/>
      </c>
      <c r="AJ31" s="29">
        <f>'Model'!$AB$54</f>
        <v/>
      </c>
      <c r="AK31" s="29">
        <f>'Model'!$AC$54</f>
        <v/>
      </c>
      <c r="AL31" s="29">
        <f>'Model'!$AD$54</f>
        <v/>
      </c>
      <c r="AM31" s="29">
        <f>'Model'!$AE$54</f>
        <v/>
      </c>
      <c r="AN31" s="29">
        <f>'Model'!$AF$54</f>
        <v/>
      </c>
      <c r="AO31" s="29">
        <f>'Model'!$AG$54</f>
        <v/>
      </c>
      <c r="AP31" s="29">
        <f>'Model'!$AH$54</f>
        <v/>
      </c>
      <c r="AQ31" s="29">
        <f>'Model'!$AI$54</f>
        <v/>
      </c>
    </row>
    <row r="32" ht="6" customHeight="1"/>
    <row r="33">
      <c r="B33" s="28" t="inlineStr">
        <is>
          <t>EBITDA</t>
        </is>
      </c>
      <c r="C33" s="29">
        <f>SUM(L33:O33)</f>
        <v/>
      </c>
      <c r="D33" s="29">
        <f>SUM(P33:S33)</f>
        <v/>
      </c>
      <c r="E33" s="29">
        <f>SUM(T33:W33)</f>
        <v/>
      </c>
      <c r="F33" s="29">
        <f>SUM(X33:AA33)</f>
        <v/>
      </c>
      <c r="G33" s="29">
        <f>SUM(AB33:AE33)</f>
        <v/>
      </c>
      <c r="H33" s="29">
        <f>SUM(AF33:AI33)</f>
        <v/>
      </c>
      <c r="I33" s="29">
        <f>SUM(AJ33:AM33)</f>
        <v/>
      </c>
      <c r="J33" s="29">
        <f>SUM(AN33:AQ33)</f>
        <v/>
      </c>
      <c r="L33" s="29">
        <f>'Model'!$D$56</f>
        <v/>
      </c>
      <c r="M33" s="29">
        <f>'Model'!$E$56</f>
        <v/>
      </c>
      <c r="N33" s="29">
        <f>'Model'!$F$56</f>
        <v/>
      </c>
      <c r="O33" s="29">
        <f>'Model'!$G$56</f>
        <v/>
      </c>
      <c r="P33" s="29">
        <f>'Model'!$H$56</f>
        <v/>
      </c>
      <c r="Q33" s="29">
        <f>'Model'!$I$56</f>
        <v/>
      </c>
      <c r="R33" s="29">
        <f>'Model'!$J$56</f>
        <v/>
      </c>
      <c r="S33" s="29">
        <f>'Model'!$K$56</f>
        <v/>
      </c>
      <c r="T33" s="29">
        <f>'Model'!$L$56</f>
        <v/>
      </c>
      <c r="U33" s="29">
        <f>'Model'!$M$56</f>
        <v/>
      </c>
      <c r="V33" s="29">
        <f>'Model'!$N$56</f>
        <v/>
      </c>
      <c r="W33" s="29">
        <f>'Model'!$O$56</f>
        <v/>
      </c>
      <c r="X33" s="29">
        <f>'Model'!$P$56</f>
        <v/>
      </c>
      <c r="Y33" s="29">
        <f>'Model'!$Q$56</f>
        <v/>
      </c>
      <c r="Z33" s="29">
        <f>'Model'!$R$56</f>
        <v/>
      </c>
      <c r="AA33" s="29">
        <f>'Model'!$S$56</f>
        <v/>
      </c>
      <c r="AB33" s="29">
        <f>'Model'!$T$56</f>
        <v/>
      </c>
      <c r="AC33" s="29">
        <f>'Model'!$U$56</f>
        <v/>
      </c>
      <c r="AD33" s="29">
        <f>'Model'!$V$56</f>
        <v/>
      </c>
      <c r="AE33" s="29">
        <f>'Model'!$W$56</f>
        <v/>
      </c>
      <c r="AF33" s="29">
        <f>'Model'!$X$56</f>
        <v/>
      </c>
      <c r="AG33" s="29">
        <f>'Model'!$Y$56</f>
        <v/>
      </c>
      <c r="AH33" s="29">
        <f>'Model'!$Z$56</f>
        <v/>
      </c>
      <c r="AI33" s="29">
        <f>'Model'!$AA$56</f>
        <v/>
      </c>
      <c r="AJ33" s="29">
        <f>'Model'!$AB$56</f>
        <v/>
      </c>
      <c r="AK33" s="29">
        <f>'Model'!$AC$56</f>
        <v/>
      </c>
      <c r="AL33" s="29">
        <f>'Model'!$AD$56</f>
        <v/>
      </c>
      <c r="AM33" s="29">
        <f>'Model'!$AE$56</f>
        <v/>
      </c>
      <c r="AN33" s="29">
        <f>'Model'!$AF$56</f>
        <v/>
      </c>
      <c r="AO33" s="29">
        <f>'Model'!$AG$56</f>
        <v/>
      </c>
      <c r="AP33" s="29">
        <f>'Model'!$AH$56</f>
        <v/>
      </c>
      <c r="AQ33" s="29">
        <f>'Model'!$AI$56</f>
        <v/>
      </c>
    </row>
    <row r="34">
      <c r="B34" s="31" t="inlineStr">
        <is>
          <t>Margin %</t>
        </is>
      </c>
      <c r="C34" s="32">
        <f>IFERROR(C33/C14,"")</f>
        <v/>
      </c>
      <c r="D34" s="32">
        <f>IFERROR(D33/D14,"")</f>
        <v/>
      </c>
      <c r="E34" s="32">
        <f>IFERROR(E33/E14,"")</f>
        <v/>
      </c>
      <c r="F34" s="32">
        <f>IFERROR(F33/F14,"")</f>
        <v/>
      </c>
      <c r="G34" s="32">
        <f>IFERROR(G33/G14,"")</f>
        <v/>
      </c>
      <c r="H34" s="32">
        <f>IFERROR(H33/H14,"")</f>
        <v/>
      </c>
      <c r="I34" s="32">
        <f>IFERROR(I33/I14,"")</f>
        <v/>
      </c>
      <c r="J34" s="32">
        <f>IFERROR(J33/J14,"")</f>
        <v/>
      </c>
      <c r="L34" s="32">
        <f>IFERROR('Model'!$D$56 / 'Model'!$D$31, "")</f>
        <v/>
      </c>
      <c r="M34" s="32">
        <f>IFERROR('Model'!$E$56 / 'Model'!$E$31, "")</f>
        <v/>
      </c>
      <c r="N34" s="32">
        <f>IFERROR('Model'!$F$56 / 'Model'!$F$31, "")</f>
        <v/>
      </c>
      <c r="O34" s="32">
        <f>IFERROR('Model'!$G$56 / 'Model'!$G$31, "")</f>
        <v/>
      </c>
      <c r="P34" s="32">
        <f>IFERROR('Model'!$H$56 / 'Model'!$H$31, "")</f>
        <v/>
      </c>
      <c r="Q34" s="32">
        <f>IFERROR('Model'!$I$56 / 'Model'!$I$31, "")</f>
        <v/>
      </c>
      <c r="R34" s="32">
        <f>IFERROR('Model'!$J$56 / 'Model'!$J$31, "")</f>
        <v/>
      </c>
      <c r="S34" s="32">
        <f>IFERROR('Model'!$K$56 / 'Model'!$K$31, "")</f>
        <v/>
      </c>
      <c r="T34" s="32">
        <f>IFERROR('Model'!$L$56 / 'Model'!$L$31, "")</f>
        <v/>
      </c>
      <c r="U34" s="32">
        <f>IFERROR('Model'!$M$56 / 'Model'!$M$31, "")</f>
        <v/>
      </c>
      <c r="V34" s="32">
        <f>IFERROR('Model'!$N$56 / 'Model'!$N$31, "")</f>
        <v/>
      </c>
      <c r="W34" s="32">
        <f>IFERROR('Model'!$O$56 / 'Model'!$O$31, "")</f>
        <v/>
      </c>
      <c r="X34" s="32">
        <f>IFERROR('Model'!$P$56 / 'Model'!$P$31, "")</f>
        <v/>
      </c>
      <c r="Y34" s="32">
        <f>IFERROR('Model'!$Q$56 / 'Model'!$Q$31, "")</f>
        <v/>
      </c>
      <c r="Z34" s="32">
        <f>IFERROR('Model'!$R$56 / 'Model'!$R$31, "")</f>
        <v/>
      </c>
      <c r="AA34" s="32">
        <f>IFERROR('Model'!$S$56 / 'Model'!$S$31, "")</f>
        <v/>
      </c>
      <c r="AB34" s="32">
        <f>IFERROR('Model'!$T$56 / 'Model'!$T$31, "")</f>
        <v/>
      </c>
      <c r="AC34" s="32">
        <f>IFERROR('Model'!$U$56 / 'Model'!$U$31, "")</f>
        <v/>
      </c>
      <c r="AD34" s="32">
        <f>IFERROR('Model'!$V$56 / 'Model'!$V$31, "")</f>
        <v/>
      </c>
      <c r="AE34" s="32">
        <f>IFERROR('Model'!$W$56 / 'Model'!$W$31, "")</f>
        <v/>
      </c>
      <c r="AF34" s="32">
        <f>IFERROR('Model'!$X$56 / 'Model'!$X$31, "")</f>
        <v/>
      </c>
      <c r="AG34" s="32">
        <f>IFERROR('Model'!$Y$56 / 'Model'!$Y$31, "")</f>
        <v/>
      </c>
      <c r="AH34" s="32">
        <f>IFERROR('Model'!$Z$56 / 'Model'!$Z$31, "")</f>
        <v/>
      </c>
      <c r="AI34" s="32">
        <f>IFERROR('Model'!$AA$56 / 'Model'!$AA$31, "")</f>
        <v/>
      </c>
      <c r="AJ34" s="32">
        <f>IFERROR('Model'!$AB$56 / 'Model'!$AB$31, "")</f>
        <v/>
      </c>
      <c r="AK34" s="32">
        <f>IFERROR('Model'!$AC$56 / 'Model'!$AC$31, "")</f>
        <v/>
      </c>
      <c r="AL34" s="32">
        <f>IFERROR('Model'!$AD$56 / 'Model'!$AD$31, "")</f>
        <v/>
      </c>
      <c r="AM34" s="32">
        <f>IFERROR('Model'!$AE$56 / 'Model'!$AE$31, "")</f>
        <v/>
      </c>
      <c r="AN34" s="32">
        <f>IFERROR('Model'!$AF$56 / 'Model'!$AF$31, "")</f>
        <v/>
      </c>
      <c r="AO34" s="32">
        <f>IFERROR('Model'!$AG$56 / 'Model'!$AG$31, "")</f>
        <v/>
      </c>
      <c r="AP34" s="32">
        <f>IFERROR('Model'!$AH$56 / 'Model'!$AH$31, "")</f>
        <v/>
      </c>
      <c r="AQ34" s="32">
        <f>IFERROR('Model'!$AI$56 / 'Model'!$AI$31, "")</f>
        <v/>
      </c>
    </row>
    <row r="35" ht="6" customHeight="1"/>
    <row r="36">
      <c r="B36" s="26" t="inlineStr">
        <is>
          <t>Depreciation</t>
        </is>
      </c>
      <c r="C36" s="27">
        <f>SUM(L36:O36)</f>
        <v/>
      </c>
      <c r="D36" s="27">
        <f>SUM(P36:S36)</f>
        <v/>
      </c>
      <c r="E36" s="27">
        <f>SUM(T36:W36)</f>
        <v/>
      </c>
      <c r="F36" s="27">
        <f>SUM(X36:AA36)</f>
        <v/>
      </c>
      <c r="G36" s="27">
        <f>SUM(AB36:AE36)</f>
        <v/>
      </c>
      <c r="H36" s="27">
        <f>SUM(AF36:AI36)</f>
        <v/>
      </c>
      <c r="I36" s="27">
        <f>SUM(AJ36:AM36)</f>
        <v/>
      </c>
      <c r="J36" s="27">
        <f>SUM(AN36:AQ36)</f>
        <v/>
      </c>
      <c r="L36" s="27">
        <f>'Model'!$D$59</f>
        <v/>
      </c>
      <c r="M36" s="27">
        <f>'Model'!$E$59</f>
        <v/>
      </c>
      <c r="N36" s="27">
        <f>'Model'!$F$59</f>
        <v/>
      </c>
      <c r="O36" s="27">
        <f>'Model'!$G$59</f>
        <v/>
      </c>
      <c r="P36" s="27">
        <f>'Model'!$H$59</f>
        <v/>
      </c>
      <c r="Q36" s="27">
        <f>'Model'!$I$59</f>
        <v/>
      </c>
      <c r="R36" s="27">
        <f>'Model'!$J$59</f>
        <v/>
      </c>
      <c r="S36" s="27">
        <f>'Model'!$K$59</f>
        <v/>
      </c>
      <c r="T36" s="27">
        <f>'Model'!$L$59</f>
        <v/>
      </c>
      <c r="U36" s="27">
        <f>'Model'!$M$59</f>
        <v/>
      </c>
      <c r="V36" s="27">
        <f>'Model'!$N$59</f>
        <v/>
      </c>
      <c r="W36" s="27">
        <f>'Model'!$O$59</f>
        <v/>
      </c>
      <c r="X36" s="27">
        <f>'Model'!$P$59</f>
        <v/>
      </c>
      <c r="Y36" s="27">
        <f>'Model'!$Q$59</f>
        <v/>
      </c>
      <c r="Z36" s="27">
        <f>'Model'!$R$59</f>
        <v/>
      </c>
      <c r="AA36" s="27">
        <f>'Model'!$S$59</f>
        <v/>
      </c>
      <c r="AB36" s="27">
        <f>'Model'!$T$59</f>
        <v/>
      </c>
      <c r="AC36" s="27">
        <f>'Model'!$U$59</f>
        <v/>
      </c>
      <c r="AD36" s="27">
        <f>'Model'!$V$59</f>
        <v/>
      </c>
      <c r="AE36" s="27">
        <f>'Model'!$W$59</f>
        <v/>
      </c>
      <c r="AF36" s="27">
        <f>'Model'!$X$59</f>
        <v/>
      </c>
      <c r="AG36" s="27">
        <f>'Model'!$Y$59</f>
        <v/>
      </c>
      <c r="AH36" s="27">
        <f>'Model'!$Z$59</f>
        <v/>
      </c>
      <c r="AI36" s="27">
        <f>'Model'!$AA$59</f>
        <v/>
      </c>
      <c r="AJ36" s="27">
        <f>'Model'!$AB$59</f>
        <v/>
      </c>
      <c r="AK36" s="27">
        <f>'Model'!$AC$59</f>
        <v/>
      </c>
      <c r="AL36" s="27">
        <f>'Model'!$AD$59</f>
        <v/>
      </c>
      <c r="AM36" s="27">
        <f>'Model'!$AE$59</f>
        <v/>
      </c>
      <c r="AN36" s="27">
        <f>'Model'!$AF$59</f>
        <v/>
      </c>
      <c r="AO36" s="27">
        <f>'Model'!$AG$59</f>
        <v/>
      </c>
      <c r="AP36" s="27">
        <f>'Model'!$AH$59</f>
        <v/>
      </c>
      <c r="AQ36" s="27">
        <f>'Model'!$AI$59</f>
        <v/>
      </c>
    </row>
    <row r="37">
      <c r="B37" s="28" t="inlineStr">
        <is>
          <t>EBIT</t>
        </is>
      </c>
      <c r="C37" s="29">
        <f>SUM(L37:O37)</f>
        <v/>
      </c>
      <c r="D37" s="29">
        <f>SUM(P37:S37)</f>
        <v/>
      </c>
      <c r="E37" s="29">
        <f>SUM(T37:W37)</f>
        <v/>
      </c>
      <c r="F37" s="29">
        <f>SUM(X37:AA37)</f>
        <v/>
      </c>
      <c r="G37" s="29">
        <f>SUM(AB37:AE37)</f>
        <v/>
      </c>
      <c r="H37" s="29">
        <f>SUM(AF37:AI37)</f>
        <v/>
      </c>
      <c r="I37" s="29">
        <f>SUM(AJ37:AM37)</f>
        <v/>
      </c>
      <c r="J37" s="29">
        <f>SUM(AN37:AQ37)</f>
        <v/>
      </c>
      <c r="L37" s="29">
        <f>'Model'!$D$60</f>
        <v/>
      </c>
      <c r="M37" s="29">
        <f>'Model'!$E$60</f>
        <v/>
      </c>
      <c r="N37" s="29">
        <f>'Model'!$F$60</f>
        <v/>
      </c>
      <c r="O37" s="29">
        <f>'Model'!$G$60</f>
        <v/>
      </c>
      <c r="P37" s="29">
        <f>'Model'!$H$60</f>
        <v/>
      </c>
      <c r="Q37" s="29">
        <f>'Model'!$I$60</f>
        <v/>
      </c>
      <c r="R37" s="29">
        <f>'Model'!$J$60</f>
        <v/>
      </c>
      <c r="S37" s="29">
        <f>'Model'!$K$60</f>
        <v/>
      </c>
      <c r="T37" s="29">
        <f>'Model'!$L$60</f>
        <v/>
      </c>
      <c r="U37" s="29">
        <f>'Model'!$M$60</f>
        <v/>
      </c>
      <c r="V37" s="29">
        <f>'Model'!$N$60</f>
        <v/>
      </c>
      <c r="W37" s="29">
        <f>'Model'!$O$60</f>
        <v/>
      </c>
      <c r="X37" s="29">
        <f>'Model'!$P$60</f>
        <v/>
      </c>
      <c r="Y37" s="29">
        <f>'Model'!$Q$60</f>
        <v/>
      </c>
      <c r="Z37" s="29">
        <f>'Model'!$R$60</f>
        <v/>
      </c>
      <c r="AA37" s="29">
        <f>'Model'!$S$60</f>
        <v/>
      </c>
      <c r="AB37" s="29">
        <f>'Model'!$T$60</f>
        <v/>
      </c>
      <c r="AC37" s="29">
        <f>'Model'!$U$60</f>
        <v/>
      </c>
      <c r="AD37" s="29">
        <f>'Model'!$V$60</f>
        <v/>
      </c>
      <c r="AE37" s="29">
        <f>'Model'!$W$60</f>
        <v/>
      </c>
      <c r="AF37" s="29">
        <f>'Model'!$X$60</f>
        <v/>
      </c>
      <c r="AG37" s="29">
        <f>'Model'!$Y$60</f>
        <v/>
      </c>
      <c r="AH37" s="29">
        <f>'Model'!$Z$60</f>
        <v/>
      </c>
      <c r="AI37" s="29">
        <f>'Model'!$AA$60</f>
        <v/>
      </c>
      <c r="AJ37" s="29">
        <f>'Model'!$AB$60</f>
        <v/>
      </c>
      <c r="AK37" s="29">
        <f>'Model'!$AC$60</f>
        <v/>
      </c>
      <c r="AL37" s="29">
        <f>'Model'!$AD$60</f>
        <v/>
      </c>
      <c r="AM37" s="29">
        <f>'Model'!$AE$60</f>
        <v/>
      </c>
      <c r="AN37" s="29">
        <f>'Model'!$AF$60</f>
        <v/>
      </c>
      <c r="AO37" s="29">
        <f>'Model'!$AG$60</f>
        <v/>
      </c>
      <c r="AP37" s="29">
        <f>'Model'!$AH$60</f>
        <v/>
      </c>
      <c r="AQ37" s="29">
        <f>'Model'!$AI$60</f>
        <v/>
      </c>
    </row>
    <row r="38" ht="6" customHeight="1"/>
    <row r="39">
      <c r="B39" s="35" t="inlineStr">
        <is>
          <t>Net Income</t>
        </is>
      </c>
      <c r="C39" s="36">
        <f>SUM(L39:O39)</f>
        <v/>
      </c>
      <c r="D39" s="36">
        <f>SUM(P39:S39)</f>
        <v/>
      </c>
      <c r="E39" s="36">
        <f>SUM(T39:W39)</f>
        <v/>
      </c>
      <c r="F39" s="36">
        <f>SUM(X39:AA39)</f>
        <v/>
      </c>
      <c r="G39" s="36">
        <f>SUM(AB39:AE39)</f>
        <v/>
      </c>
      <c r="H39" s="36">
        <f>SUM(AF39:AI39)</f>
        <v/>
      </c>
      <c r="I39" s="36">
        <f>SUM(AJ39:AM39)</f>
        <v/>
      </c>
      <c r="J39" s="36">
        <f>SUM(AN39:AQ39)</f>
        <v/>
      </c>
      <c r="L39" s="36">
        <f>'Model'!$D$62</f>
        <v/>
      </c>
      <c r="M39" s="36">
        <f>'Model'!$E$62</f>
        <v/>
      </c>
      <c r="N39" s="36">
        <f>'Model'!$F$62</f>
        <v/>
      </c>
      <c r="O39" s="36">
        <f>'Model'!$G$62</f>
        <v/>
      </c>
      <c r="P39" s="36">
        <f>'Model'!$H$62</f>
        <v/>
      </c>
      <c r="Q39" s="36">
        <f>'Model'!$I$62</f>
        <v/>
      </c>
      <c r="R39" s="36">
        <f>'Model'!$J$62</f>
        <v/>
      </c>
      <c r="S39" s="36">
        <f>'Model'!$K$62</f>
        <v/>
      </c>
      <c r="T39" s="36">
        <f>'Model'!$L$62</f>
        <v/>
      </c>
      <c r="U39" s="36">
        <f>'Model'!$M$62</f>
        <v/>
      </c>
      <c r="V39" s="36">
        <f>'Model'!$N$62</f>
        <v/>
      </c>
      <c r="W39" s="36">
        <f>'Model'!$O$62</f>
        <v/>
      </c>
      <c r="X39" s="36">
        <f>'Model'!$P$62</f>
        <v/>
      </c>
      <c r="Y39" s="36">
        <f>'Model'!$Q$62</f>
        <v/>
      </c>
      <c r="Z39" s="36">
        <f>'Model'!$R$62</f>
        <v/>
      </c>
      <c r="AA39" s="36">
        <f>'Model'!$S$62</f>
        <v/>
      </c>
      <c r="AB39" s="36">
        <f>'Model'!$T$62</f>
        <v/>
      </c>
      <c r="AC39" s="36">
        <f>'Model'!$U$62</f>
        <v/>
      </c>
      <c r="AD39" s="36">
        <f>'Model'!$V$62</f>
        <v/>
      </c>
      <c r="AE39" s="36">
        <f>'Model'!$W$62</f>
        <v/>
      </c>
      <c r="AF39" s="36">
        <f>'Model'!$X$62</f>
        <v/>
      </c>
      <c r="AG39" s="36">
        <f>'Model'!$Y$62</f>
        <v/>
      </c>
      <c r="AH39" s="36">
        <f>'Model'!$Z$62</f>
        <v/>
      </c>
      <c r="AI39" s="36">
        <f>'Model'!$AA$62</f>
        <v/>
      </c>
      <c r="AJ39" s="36">
        <f>'Model'!$AB$62</f>
        <v/>
      </c>
      <c r="AK39" s="36">
        <f>'Model'!$AC$62</f>
        <v/>
      </c>
      <c r="AL39" s="36">
        <f>'Model'!$AD$62</f>
        <v/>
      </c>
      <c r="AM39" s="36">
        <f>'Model'!$AE$62</f>
        <v/>
      </c>
      <c r="AN39" s="36">
        <f>'Model'!$AF$62</f>
        <v/>
      </c>
      <c r="AO39" s="36">
        <f>'Model'!$AG$62</f>
        <v/>
      </c>
      <c r="AP39" s="36">
        <f>'Model'!$AH$62</f>
        <v/>
      </c>
      <c r="AQ39" s="36">
        <f>'Model'!$AI$62</f>
        <v/>
      </c>
    </row>
    <row r="40" ht="6" customHeight="1"/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Q19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 ht="6" customHeight="1"/>
    <row r="2">
      <c r="B2" s="1" t="inlineStr">
        <is>
          <t>Cash Flow</t>
        </is>
      </c>
    </row>
    <row r="3">
      <c r="B3" s="4" t="inlineStr">
        <is>
          <t>Link to Cover</t>
        </is>
      </c>
    </row>
    <row r="4">
      <c r="A4" s="7" t="n"/>
      <c r="B4" s="21" t="inlineStr">
        <is>
          <t>All figures in $ thousands, unless otherwise noted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8" t="n"/>
      <c r="C6" s="22" t="n">
        <v>44197</v>
      </c>
      <c r="D6" s="22" t="n">
        <v>44562</v>
      </c>
      <c r="E6" s="22" t="n">
        <v>44927</v>
      </c>
      <c r="F6" s="22" t="n">
        <v>45292</v>
      </c>
      <c r="G6" s="22" t="n">
        <v>45658</v>
      </c>
      <c r="H6" s="23" t="n">
        <v>46023</v>
      </c>
      <c r="I6" s="23" t="n">
        <v>46388</v>
      </c>
      <c r="J6" s="23" t="n">
        <v>46753</v>
      </c>
      <c r="K6" s="8" t="inlineStr"/>
      <c r="L6" s="24" t="inlineStr">
        <is>
          <t>Q1 '21</t>
        </is>
      </c>
      <c r="M6" s="24" t="inlineStr">
        <is>
          <t>Q2 '21</t>
        </is>
      </c>
      <c r="N6" s="24" t="inlineStr">
        <is>
          <t>Q3 '21</t>
        </is>
      </c>
      <c r="O6" s="24" t="inlineStr">
        <is>
          <t>Q4 '21</t>
        </is>
      </c>
      <c r="P6" s="24" t="inlineStr">
        <is>
          <t>Q1 '22</t>
        </is>
      </c>
      <c r="Q6" s="24" t="inlineStr">
        <is>
          <t>Q2 '22</t>
        </is>
      </c>
      <c r="R6" s="24" t="inlineStr">
        <is>
          <t>Q3 '22</t>
        </is>
      </c>
      <c r="S6" s="24" t="inlineStr">
        <is>
          <t>Q4 '22</t>
        </is>
      </c>
      <c r="T6" s="24" t="inlineStr">
        <is>
          <t>Q1 '23</t>
        </is>
      </c>
      <c r="U6" s="24" t="inlineStr">
        <is>
          <t>Q2 '23</t>
        </is>
      </c>
      <c r="V6" s="24" t="inlineStr">
        <is>
          <t>Q3 '23</t>
        </is>
      </c>
      <c r="W6" s="24" t="inlineStr">
        <is>
          <t>Q4 '23</t>
        </is>
      </c>
      <c r="X6" s="24" t="inlineStr">
        <is>
          <t>Q1 '24</t>
        </is>
      </c>
      <c r="Y6" s="24" t="inlineStr">
        <is>
          <t>Q2 '24</t>
        </is>
      </c>
      <c r="Z6" s="24" t="inlineStr">
        <is>
          <t>Q3 '24</t>
        </is>
      </c>
      <c r="AA6" s="24" t="inlineStr">
        <is>
          <t>Q4 '24</t>
        </is>
      </c>
      <c r="AB6" s="24" t="inlineStr">
        <is>
          <t>Q1 '25</t>
        </is>
      </c>
      <c r="AC6" s="24" t="inlineStr">
        <is>
          <t>Q2 '25</t>
        </is>
      </c>
      <c r="AD6" s="24" t="inlineStr">
        <is>
          <t>Q3 '25</t>
        </is>
      </c>
      <c r="AE6" s="24" t="inlineStr">
        <is>
          <t>Q4 '25</t>
        </is>
      </c>
      <c r="AF6" s="24" t="inlineStr">
        <is>
          <t>Q1 '26</t>
        </is>
      </c>
      <c r="AG6" s="24" t="inlineStr">
        <is>
          <t>Q2 '26</t>
        </is>
      </c>
      <c r="AH6" s="25" t="inlineStr">
        <is>
          <t>Q3 '26</t>
        </is>
      </c>
      <c r="AI6" s="25" t="inlineStr">
        <is>
          <t>Q4 '26</t>
        </is>
      </c>
      <c r="AJ6" s="25" t="inlineStr">
        <is>
          <t>Q1 '27</t>
        </is>
      </c>
      <c r="AK6" s="25" t="inlineStr">
        <is>
          <t>Q2 '27</t>
        </is>
      </c>
      <c r="AL6" s="25" t="inlineStr">
        <is>
          <t>Q3 '27</t>
        </is>
      </c>
      <c r="AM6" s="25" t="inlineStr">
        <is>
          <t>Q4 '27</t>
        </is>
      </c>
      <c r="AN6" s="25" t="inlineStr">
        <is>
          <t>Q1 '28</t>
        </is>
      </c>
      <c r="AO6" s="25" t="inlineStr">
        <is>
          <t>Q2 '28</t>
        </is>
      </c>
      <c r="AP6" s="25" t="inlineStr">
        <is>
          <t>Q3 '28</t>
        </is>
      </c>
      <c r="AQ6" s="25" t="inlineStr">
        <is>
          <t>Q4 '28</t>
        </is>
      </c>
    </row>
    <row r="7">
      <c r="B7" s="26" t="inlineStr">
        <is>
          <t>Net Income</t>
        </is>
      </c>
      <c r="C7" s="27">
        <f>SUM(L7:O7)</f>
        <v/>
      </c>
      <c r="D7" s="27">
        <f>SUM(P7:S7)</f>
        <v/>
      </c>
      <c r="E7" s="27">
        <f>SUM(T7:W7)</f>
        <v/>
      </c>
      <c r="F7" s="27">
        <f>SUM(X7:AA7)</f>
        <v/>
      </c>
      <c r="G7" s="27">
        <f>SUM(AB7:AE7)</f>
        <v/>
      </c>
      <c r="H7" s="27">
        <f>SUM(AF7:AI7)</f>
        <v/>
      </c>
      <c r="I7" s="27">
        <f>SUM(AJ7:AM7)</f>
        <v/>
      </c>
      <c r="J7" s="27">
        <f>SUM(AN7:AQ7)</f>
        <v/>
      </c>
      <c r="L7" s="27">
        <f>'Model'!$D$62</f>
        <v/>
      </c>
      <c r="M7" s="27">
        <f>'Model'!$E$62</f>
        <v/>
      </c>
      <c r="N7" s="27">
        <f>'Model'!$F$62</f>
        <v/>
      </c>
      <c r="O7" s="27">
        <f>'Model'!$G$62</f>
        <v/>
      </c>
      <c r="P7" s="27">
        <f>'Model'!$H$62</f>
        <v/>
      </c>
      <c r="Q7" s="27">
        <f>'Model'!$I$62</f>
        <v/>
      </c>
      <c r="R7" s="27">
        <f>'Model'!$J$62</f>
        <v/>
      </c>
      <c r="S7" s="27">
        <f>'Model'!$K$62</f>
        <v/>
      </c>
      <c r="T7" s="27">
        <f>'Model'!$L$62</f>
        <v/>
      </c>
      <c r="U7" s="27">
        <f>'Model'!$M$62</f>
        <v/>
      </c>
      <c r="V7" s="27">
        <f>'Model'!$N$62</f>
        <v/>
      </c>
      <c r="W7" s="27">
        <f>'Model'!$O$62</f>
        <v/>
      </c>
      <c r="X7" s="27">
        <f>'Model'!$P$62</f>
        <v/>
      </c>
      <c r="Y7" s="27">
        <f>'Model'!$Q$62</f>
        <v/>
      </c>
      <c r="Z7" s="27">
        <f>'Model'!$R$62</f>
        <v/>
      </c>
      <c r="AA7" s="27">
        <f>'Model'!$S$62</f>
        <v/>
      </c>
      <c r="AB7" s="27">
        <f>'Model'!$T$62</f>
        <v/>
      </c>
      <c r="AC7" s="27">
        <f>'Model'!$U$62</f>
        <v/>
      </c>
      <c r="AD7" s="27">
        <f>'Model'!$V$62</f>
        <v/>
      </c>
      <c r="AE7" s="27">
        <f>'Model'!$W$62</f>
        <v/>
      </c>
      <c r="AF7" s="27">
        <f>'Model'!$X$62</f>
        <v/>
      </c>
      <c r="AG7" s="27">
        <f>'Model'!$Y$62</f>
        <v/>
      </c>
      <c r="AH7" s="27">
        <f>'Model'!$Z$62</f>
        <v/>
      </c>
      <c r="AI7" s="27">
        <f>'Model'!$AA$62</f>
        <v/>
      </c>
      <c r="AJ7" s="27">
        <f>'Model'!$AB$62</f>
        <v/>
      </c>
      <c r="AK7" s="27">
        <f>'Model'!$AC$62</f>
        <v/>
      </c>
      <c r="AL7" s="27">
        <f>'Model'!$AD$62</f>
        <v/>
      </c>
      <c r="AM7" s="27">
        <f>'Model'!$AE$62</f>
        <v/>
      </c>
      <c r="AN7" s="27">
        <f>'Model'!$AF$62</f>
        <v/>
      </c>
      <c r="AO7" s="27">
        <f>'Model'!$AG$62</f>
        <v/>
      </c>
      <c r="AP7" s="27">
        <f>'Model'!$AH$62</f>
        <v/>
      </c>
      <c r="AQ7" s="27">
        <f>'Model'!$AI$62</f>
        <v/>
      </c>
    </row>
    <row r="8">
      <c r="B8" s="26" t="inlineStr">
        <is>
          <t>Add back: depreciation</t>
        </is>
      </c>
      <c r="C8" s="27">
        <f>SUM(L8:O8)</f>
        <v/>
      </c>
      <c r="D8" s="27">
        <f>SUM(P8:S8)</f>
        <v/>
      </c>
      <c r="E8" s="27">
        <f>SUM(T8:W8)</f>
        <v/>
      </c>
      <c r="F8" s="27">
        <f>SUM(X8:AA8)</f>
        <v/>
      </c>
      <c r="G8" s="27">
        <f>SUM(AB8:AE8)</f>
        <v/>
      </c>
      <c r="H8" s="27">
        <f>SUM(AF8:AI8)</f>
        <v/>
      </c>
      <c r="I8" s="27">
        <f>SUM(AJ8:AM8)</f>
        <v/>
      </c>
      <c r="J8" s="27">
        <f>SUM(AN8:AQ8)</f>
        <v/>
      </c>
      <c r="L8" s="27">
        <f>'Model'!$D$59</f>
        <v/>
      </c>
      <c r="M8" s="27">
        <f>'Model'!$E$59</f>
        <v/>
      </c>
      <c r="N8" s="27">
        <f>'Model'!$F$59</f>
        <v/>
      </c>
      <c r="O8" s="27">
        <f>'Model'!$G$59</f>
        <v/>
      </c>
      <c r="P8" s="27">
        <f>'Model'!$H$59</f>
        <v/>
      </c>
      <c r="Q8" s="27">
        <f>'Model'!$I$59</f>
        <v/>
      </c>
      <c r="R8" s="27">
        <f>'Model'!$J$59</f>
        <v/>
      </c>
      <c r="S8" s="27">
        <f>'Model'!$K$59</f>
        <v/>
      </c>
      <c r="T8" s="27">
        <f>'Model'!$L$59</f>
        <v/>
      </c>
      <c r="U8" s="27">
        <f>'Model'!$M$59</f>
        <v/>
      </c>
      <c r="V8" s="27">
        <f>'Model'!$N$59</f>
        <v/>
      </c>
      <c r="W8" s="27">
        <f>'Model'!$O$59</f>
        <v/>
      </c>
      <c r="X8" s="27">
        <f>'Model'!$P$59</f>
        <v/>
      </c>
      <c r="Y8" s="27">
        <f>'Model'!$Q$59</f>
        <v/>
      </c>
      <c r="Z8" s="27">
        <f>'Model'!$R$59</f>
        <v/>
      </c>
      <c r="AA8" s="27">
        <f>'Model'!$S$59</f>
        <v/>
      </c>
      <c r="AB8" s="27">
        <f>'Model'!$T$59</f>
        <v/>
      </c>
      <c r="AC8" s="27">
        <f>'Model'!$U$59</f>
        <v/>
      </c>
      <c r="AD8" s="27">
        <f>'Model'!$V$59</f>
        <v/>
      </c>
      <c r="AE8" s="27">
        <f>'Model'!$W$59</f>
        <v/>
      </c>
      <c r="AF8" s="27">
        <f>'Model'!$X$59</f>
        <v/>
      </c>
      <c r="AG8" s="27">
        <f>'Model'!$Y$59</f>
        <v/>
      </c>
      <c r="AH8" s="27">
        <f>'Model'!$Z$59</f>
        <v/>
      </c>
      <c r="AI8" s="27">
        <f>'Model'!$AA$59</f>
        <v/>
      </c>
      <c r="AJ8" s="27">
        <f>'Model'!$AB$59</f>
        <v/>
      </c>
      <c r="AK8" s="27">
        <f>'Model'!$AC$59</f>
        <v/>
      </c>
      <c r="AL8" s="27">
        <f>'Model'!$AD$59</f>
        <v/>
      </c>
      <c r="AM8" s="27">
        <f>'Model'!$AE$59</f>
        <v/>
      </c>
      <c r="AN8" s="27">
        <f>'Model'!$AF$59</f>
        <v/>
      </c>
      <c r="AO8" s="27">
        <f>'Model'!$AG$59</f>
        <v/>
      </c>
      <c r="AP8" s="27">
        <f>'Model'!$AH$59</f>
        <v/>
      </c>
      <c r="AQ8" s="27">
        <f>'Model'!$AI$59</f>
        <v/>
      </c>
    </row>
    <row r="9">
      <c r="B9" s="26" t="inlineStr">
        <is>
          <t>(Increase) / Decrease in AR</t>
        </is>
      </c>
      <c r="C9" s="27">
        <f>SUM(L9:O9)</f>
        <v/>
      </c>
      <c r="D9" s="27">
        <f>SUM(P9:S9)</f>
        <v/>
      </c>
      <c r="E9" s="27">
        <f>SUM(T9:W9)</f>
        <v/>
      </c>
      <c r="F9" s="27">
        <f>SUM(X9:AA9)</f>
        <v/>
      </c>
      <c r="G9" s="27">
        <f>SUM(AB9:AE9)</f>
        <v/>
      </c>
      <c r="H9" s="27">
        <f>SUM(AF9:AI9)</f>
        <v/>
      </c>
      <c r="I9" s="27">
        <f>SUM(AJ9:AM9)</f>
        <v/>
      </c>
      <c r="J9" s="27">
        <f>SUM(AN9:AQ9)</f>
        <v/>
      </c>
      <c r="L9" s="27">
        <f>'Model'!$D$68</f>
        <v/>
      </c>
      <c r="M9" s="27">
        <f>'Model'!$E$68</f>
        <v/>
      </c>
      <c r="N9" s="27">
        <f>'Model'!$F$68</f>
        <v/>
      </c>
      <c r="O9" s="27">
        <f>'Model'!$G$68</f>
        <v/>
      </c>
      <c r="P9" s="27">
        <f>'Model'!$H$68</f>
        <v/>
      </c>
      <c r="Q9" s="27">
        <f>'Model'!$I$68</f>
        <v/>
      </c>
      <c r="R9" s="27">
        <f>'Model'!$J$68</f>
        <v/>
      </c>
      <c r="S9" s="27">
        <f>'Model'!$K$68</f>
        <v/>
      </c>
      <c r="T9" s="27">
        <f>'Model'!$L$68</f>
        <v/>
      </c>
      <c r="U9" s="27">
        <f>'Model'!$M$68</f>
        <v/>
      </c>
      <c r="V9" s="27">
        <f>'Model'!$N$68</f>
        <v/>
      </c>
      <c r="W9" s="27">
        <f>'Model'!$O$68</f>
        <v/>
      </c>
      <c r="X9" s="27">
        <f>'Model'!$P$68</f>
        <v/>
      </c>
      <c r="Y9" s="27">
        <f>'Model'!$Q$68</f>
        <v/>
      </c>
      <c r="Z9" s="27">
        <f>'Model'!$R$68</f>
        <v/>
      </c>
      <c r="AA9" s="27">
        <f>'Model'!$S$68</f>
        <v/>
      </c>
      <c r="AB9" s="27">
        <f>'Model'!$T$68</f>
        <v/>
      </c>
      <c r="AC9" s="27">
        <f>'Model'!$U$68</f>
        <v/>
      </c>
      <c r="AD9" s="27">
        <f>'Model'!$V$68</f>
        <v/>
      </c>
      <c r="AE9" s="27">
        <f>'Model'!$W$68</f>
        <v/>
      </c>
      <c r="AF9" s="27">
        <f>'Model'!$X$68</f>
        <v/>
      </c>
      <c r="AG9" s="27">
        <f>'Model'!$Y$68</f>
        <v/>
      </c>
      <c r="AH9" s="27">
        <f>'Model'!$Z$68</f>
        <v/>
      </c>
      <c r="AI9" s="27">
        <f>'Model'!$AA$68</f>
        <v/>
      </c>
      <c r="AJ9" s="27">
        <f>'Model'!$AB$68</f>
        <v/>
      </c>
      <c r="AK9" s="27">
        <f>'Model'!$AC$68</f>
        <v/>
      </c>
      <c r="AL9" s="27">
        <f>'Model'!$AD$68</f>
        <v/>
      </c>
      <c r="AM9" s="27">
        <f>'Model'!$AE$68</f>
        <v/>
      </c>
      <c r="AN9" s="27">
        <f>'Model'!$AF$68</f>
        <v/>
      </c>
      <c r="AO9" s="27">
        <f>'Model'!$AG$68</f>
        <v/>
      </c>
      <c r="AP9" s="27">
        <f>'Model'!$AH$68</f>
        <v/>
      </c>
      <c r="AQ9" s="27">
        <f>'Model'!$AI$68</f>
        <v/>
      </c>
    </row>
    <row r="10">
      <c r="B10" s="26" t="inlineStr">
        <is>
          <t>Increase / (Decrease) in AP</t>
        </is>
      </c>
      <c r="C10" s="27">
        <f>SUM(L10:O10)</f>
        <v/>
      </c>
      <c r="D10" s="27">
        <f>SUM(P10:S10)</f>
        <v/>
      </c>
      <c r="E10" s="27">
        <f>SUM(T10:W10)</f>
        <v/>
      </c>
      <c r="F10" s="27">
        <f>SUM(X10:AA10)</f>
        <v/>
      </c>
      <c r="G10" s="27">
        <f>SUM(AB10:AE10)</f>
        <v/>
      </c>
      <c r="H10" s="27">
        <f>SUM(AF10:AI10)</f>
        <v/>
      </c>
      <c r="I10" s="27">
        <f>SUM(AJ10:AM10)</f>
        <v/>
      </c>
      <c r="J10" s="27">
        <f>SUM(AN10:AQ10)</f>
        <v/>
      </c>
      <c r="L10" s="27">
        <f>'Model'!$D$69</f>
        <v/>
      </c>
      <c r="M10" s="27">
        <f>'Model'!$E$69</f>
        <v/>
      </c>
      <c r="N10" s="27">
        <f>'Model'!$F$69</f>
        <v/>
      </c>
      <c r="O10" s="27">
        <f>'Model'!$G$69</f>
        <v/>
      </c>
      <c r="P10" s="27">
        <f>'Model'!$H$69</f>
        <v/>
      </c>
      <c r="Q10" s="27">
        <f>'Model'!$I$69</f>
        <v/>
      </c>
      <c r="R10" s="27">
        <f>'Model'!$J$69</f>
        <v/>
      </c>
      <c r="S10" s="27">
        <f>'Model'!$K$69</f>
        <v/>
      </c>
      <c r="T10" s="27">
        <f>'Model'!$L$69</f>
        <v/>
      </c>
      <c r="U10" s="27">
        <f>'Model'!$M$69</f>
        <v/>
      </c>
      <c r="V10" s="27">
        <f>'Model'!$N$69</f>
        <v/>
      </c>
      <c r="W10" s="27">
        <f>'Model'!$O$69</f>
        <v/>
      </c>
      <c r="X10" s="27">
        <f>'Model'!$P$69</f>
        <v/>
      </c>
      <c r="Y10" s="27">
        <f>'Model'!$Q$69</f>
        <v/>
      </c>
      <c r="Z10" s="27">
        <f>'Model'!$R$69</f>
        <v/>
      </c>
      <c r="AA10" s="27">
        <f>'Model'!$S$69</f>
        <v/>
      </c>
      <c r="AB10" s="27">
        <f>'Model'!$T$69</f>
        <v/>
      </c>
      <c r="AC10" s="27">
        <f>'Model'!$U$69</f>
        <v/>
      </c>
      <c r="AD10" s="27">
        <f>'Model'!$V$69</f>
        <v/>
      </c>
      <c r="AE10" s="27">
        <f>'Model'!$W$69</f>
        <v/>
      </c>
      <c r="AF10" s="27">
        <f>'Model'!$X$69</f>
        <v/>
      </c>
      <c r="AG10" s="27">
        <f>'Model'!$Y$69</f>
        <v/>
      </c>
      <c r="AH10" s="27">
        <f>'Model'!$Z$69</f>
        <v/>
      </c>
      <c r="AI10" s="27">
        <f>'Model'!$AA$69</f>
        <v/>
      </c>
      <c r="AJ10" s="27">
        <f>'Model'!$AB$69</f>
        <v/>
      </c>
      <c r="AK10" s="27">
        <f>'Model'!$AC$69</f>
        <v/>
      </c>
      <c r="AL10" s="27">
        <f>'Model'!$AD$69</f>
        <v/>
      </c>
      <c r="AM10" s="27">
        <f>'Model'!$AE$69</f>
        <v/>
      </c>
      <c r="AN10" s="27">
        <f>'Model'!$AF$69</f>
        <v/>
      </c>
      <c r="AO10" s="27">
        <f>'Model'!$AG$69</f>
        <v/>
      </c>
      <c r="AP10" s="27">
        <f>'Model'!$AH$69</f>
        <v/>
      </c>
      <c r="AQ10" s="27">
        <f>'Model'!$AI$69</f>
        <v/>
      </c>
    </row>
    <row r="11">
      <c r="B11" s="28" t="inlineStr">
        <is>
          <t>Cash from Operations</t>
        </is>
      </c>
      <c r="C11" s="29">
        <f>SUM(L11:O11)</f>
        <v/>
      </c>
      <c r="D11" s="29">
        <f>SUM(P11:S11)</f>
        <v/>
      </c>
      <c r="E11" s="29">
        <f>SUM(T11:W11)</f>
        <v/>
      </c>
      <c r="F11" s="29">
        <f>SUM(X11:AA11)</f>
        <v/>
      </c>
      <c r="G11" s="29">
        <f>SUM(AB11:AE11)</f>
        <v/>
      </c>
      <c r="H11" s="29">
        <f>SUM(AF11:AI11)</f>
        <v/>
      </c>
      <c r="I11" s="29">
        <f>SUM(AJ11:AM11)</f>
        <v/>
      </c>
      <c r="J11" s="29">
        <f>SUM(AN11:AQ11)</f>
        <v/>
      </c>
      <c r="L11" s="29">
        <f>'Model'!$D$72</f>
        <v/>
      </c>
      <c r="M11" s="29">
        <f>'Model'!$E$72</f>
        <v/>
      </c>
      <c r="N11" s="29">
        <f>'Model'!$F$72</f>
        <v/>
      </c>
      <c r="O11" s="29">
        <f>'Model'!$G$72</f>
        <v/>
      </c>
      <c r="P11" s="29">
        <f>'Model'!$H$72</f>
        <v/>
      </c>
      <c r="Q11" s="29">
        <f>'Model'!$I$72</f>
        <v/>
      </c>
      <c r="R11" s="29">
        <f>'Model'!$J$72</f>
        <v/>
      </c>
      <c r="S11" s="29">
        <f>'Model'!$K$72</f>
        <v/>
      </c>
      <c r="T11" s="29">
        <f>'Model'!$L$72</f>
        <v/>
      </c>
      <c r="U11" s="29">
        <f>'Model'!$M$72</f>
        <v/>
      </c>
      <c r="V11" s="29">
        <f>'Model'!$N$72</f>
        <v/>
      </c>
      <c r="W11" s="29">
        <f>'Model'!$O$72</f>
        <v/>
      </c>
      <c r="X11" s="29">
        <f>'Model'!$P$72</f>
        <v/>
      </c>
      <c r="Y11" s="29">
        <f>'Model'!$Q$72</f>
        <v/>
      </c>
      <c r="Z11" s="29">
        <f>'Model'!$R$72</f>
        <v/>
      </c>
      <c r="AA11" s="29">
        <f>'Model'!$S$72</f>
        <v/>
      </c>
      <c r="AB11" s="29">
        <f>'Model'!$T$72</f>
        <v/>
      </c>
      <c r="AC11" s="29">
        <f>'Model'!$U$72</f>
        <v/>
      </c>
      <c r="AD11" s="29">
        <f>'Model'!$V$72</f>
        <v/>
      </c>
      <c r="AE11" s="29">
        <f>'Model'!$W$72</f>
        <v/>
      </c>
      <c r="AF11" s="29">
        <f>'Model'!$X$72</f>
        <v/>
      </c>
      <c r="AG11" s="29">
        <f>'Model'!$Y$72</f>
        <v/>
      </c>
      <c r="AH11" s="29">
        <f>'Model'!$Z$72</f>
        <v/>
      </c>
      <c r="AI11" s="29">
        <f>'Model'!$AA$72</f>
        <v/>
      </c>
      <c r="AJ11" s="29">
        <f>'Model'!$AB$72</f>
        <v/>
      </c>
      <c r="AK11" s="29">
        <f>'Model'!$AC$72</f>
        <v/>
      </c>
      <c r="AL11" s="29">
        <f>'Model'!$AD$72</f>
        <v/>
      </c>
      <c r="AM11" s="29">
        <f>'Model'!$AE$72</f>
        <v/>
      </c>
      <c r="AN11" s="29">
        <f>'Model'!$AF$72</f>
        <v/>
      </c>
      <c r="AO11" s="29">
        <f>'Model'!$AG$72</f>
        <v/>
      </c>
      <c r="AP11" s="29">
        <f>'Model'!$AH$72</f>
        <v/>
      </c>
      <c r="AQ11" s="29">
        <f>'Model'!$AI$72</f>
        <v/>
      </c>
    </row>
    <row r="12" ht="6" customHeight="1">
      <c r="B12" s="30" t="n"/>
      <c r="C12" s="30" t="n"/>
      <c r="D12" s="30" t="n"/>
      <c r="E12" s="30" t="n"/>
      <c r="F12" s="30" t="n"/>
      <c r="G12" s="30" t="n"/>
      <c r="H12" s="30" t="n"/>
      <c r="I12" s="30" t="n"/>
      <c r="J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  <c r="AB12" s="30" t="n"/>
      <c r="AC12" s="30" t="n"/>
      <c r="AD12" s="30" t="n"/>
      <c r="AE12" s="30" t="n"/>
      <c r="AF12" s="30" t="n"/>
      <c r="AG12" s="30" t="n"/>
      <c r="AH12" s="30" t="n"/>
      <c r="AI12" s="30" t="n"/>
      <c r="AJ12" s="30" t="n"/>
      <c r="AK12" s="30" t="n"/>
      <c r="AL12" s="30" t="n"/>
      <c r="AM12" s="30" t="n"/>
      <c r="AN12" s="30" t="n"/>
      <c r="AO12" s="30" t="n"/>
      <c r="AP12" s="30" t="n"/>
      <c r="AQ12" s="30" t="n"/>
    </row>
    <row r="13">
      <c r="B13" s="26" t="inlineStr">
        <is>
          <t>Capital Expenditures</t>
        </is>
      </c>
      <c r="C13" s="27">
        <f>SUM(L13:O13)</f>
        <v/>
      </c>
      <c r="D13" s="27">
        <f>SUM(P13:S13)</f>
        <v/>
      </c>
      <c r="E13" s="27">
        <f>SUM(T13:W13)</f>
        <v/>
      </c>
      <c r="F13" s="27">
        <f>SUM(X13:AA13)</f>
        <v/>
      </c>
      <c r="G13" s="27">
        <f>SUM(AB13:AE13)</f>
        <v/>
      </c>
      <c r="H13" s="27">
        <f>SUM(AF13:AI13)</f>
        <v/>
      </c>
      <c r="I13" s="27">
        <f>SUM(AJ13:AM13)</f>
        <v/>
      </c>
      <c r="J13" s="27">
        <f>SUM(AN13:AQ13)</f>
        <v/>
      </c>
      <c r="L13" s="27">
        <f>'Model'!$D$74</f>
        <v/>
      </c>
      <c r="M13" s="27">
        <f>'Model'!$E$74</f>
        <v/>
      </c>
      <c r="N13" s="27">
        <f>'Model'!$F$74</f>
        <v/>
      </c>
      <c r="O13" s="27">
        <f>'Model'!$G$74</f>
        <v/>
      </c>
      <c r="P13" s="27">
        <f>'Model'!$H$74</f>
        <v/>
      </c>
      <c r="Q13" s="27">
        <f>'Model'!$I$74</f>
        <v/>
      </c>
      <c r="R13" s="27">
        <f>'Model'!$J$74</f>
        <v/>
      </c>
      <c r="S13" s="27">
        <f>'Model'!$K$74</f>
        <v/>
      </c>
      <c r="T13" s="27">
        <f>'Model'!$L$74</f>
        <v/>
      </c>
      <c r="U13" s="27">
        <f>'Model'!$M$74</f>
        <v/>
      </c>
      <c r="V13" s="27">
        <f>'Model'!$N$74</f>
        <v/>
      </c>
      <c r="W13" s="27">
        <f>'Model'!$O$74</f>
        <v/>
      </c>
      <c r="X13" s="27">
        <f>'Model'!$P$74</f>
        <v/>
      </c>
      <c r="Y13" s="27">
        <f>'Model'!$Q$74</f>
        <v/>
      </c>
      <c r="Z13" s="27">
        <f>'Model'!$R$74</f>
        <v/>
      </c>
      <c r="AA13" s="27">
        <f>'Model'!$S$74</f>
        <v/>
      </c>
      <c r="AB13" s="27">
        <f>'Model'!$T$74</f>
        <v/>
      </c>
      <c r="AC13" s="27">
        <f>'Model'!$U$74</f>
        <v/>
      </c>
      <c r="AD13" s="27">
        <f>'Model'!$V$74</f>
        <v/>
      </c>
      <c r="AE13" s="27">
        <f>'Model'!$W$74</f>
        <v/>
      </c>
      <c r="AF13" s="27">
        <f>'Model'!$X$74</f>
        <v/>
      </c>
      <c r="AG13" s="27">
        <f>'Model'!$Y$74</f>
        <v/>
      </c>
      <c r="AH13" s="27">
        <f>'Model'!$Z$74</f>
        <v/>
      </c>
      <c r="AI13" s="27">
        <f>'Model'!$AA$74</f>
        <v/>
      </c>
      <c r="AJ13" s="27">
        <f>'Model'!$AB$74</f>
        <v/>
      </c>
      <c r="AK13" s="27">
        <f>'Model'!$AC$74</f>
        <v/>
      </c>
      <c r="AL13" s="27">
        <f>'Model'!$AD$74</f>
        <v/>
      </c>
      <c r="AM13" s="27">
        <f>'Model'!$AE$74</f>
        <v/>
      </c>
      <c r="AN13" s="27">
        <f>'Model'!$AF$74</f>
        <v/>
      </c>
      <c r="AO13" s="27">
        <f>'Model'!$AG$74</f>
        <v/>
      </c>
      <c r="AP13" s="27">
        <f>'Model'!$AH$74</f>
        <v/>
      </c>
      <c r="AQ13" s="27">
        <f>'Model'!$AI$74</f>
        <v/>
      </c>
    </row>
    <row r="14" ht="6" customHeight="1"/>
    <row r="15">
      <c r="B15" s="28" t="inlineStr">
        <is>
          <t>Free Cash Flow</t>
        </is>
      </c>
      <c r="C15" s="29">
        <f>SUM(L15:O15)</f>
        <v/>
      </c>
      <c r="D15" s="29">
        <f>SUM(P15:S15)</f>
        <v/>
      </c>
      <c r="E15" s="29">
        <f>SUM(T15:W15)</f>
        <v/>
      </c>
      <c r="F15" s="29">
        <f>SUM(X15:AA15)</f>
        <v/>
      </c>
      <c r="G15" s="29">
        <f>SUM(AB15:AE15)</f>
        <v/>
      </c>
      <c r="H15" s="29">
        <f>SUM(AF15:AI15)</f>
        <v/>
      </c>
      <c r="I15" s="29">
        <f>SUM(AJ15:AM15)</f>
        <v/>
      </c>
      <c r="J15" s="29">
        <f>SUM(AN15:AQ15)</f>
        <v/>
      </c>
      <c r="L15" s="29">
        <f>'Model'!$D$75</f>
        <v/>
      </c>
      <c r="M15" s="29">
        <f>'Model'!$E$75</f>
        <v/>
      </c>
      <c r="N15" s="29">
        <f>'Model'!$F$75</f>
        <v/>
      </c>
      <c r="O15" s="29">
        <f>'Model'!$G$75</f>
        <v/>
      </c>
      <c r="P15" s="29">
        <f>'Model'!$H$75</f>
        <v/>
      </c>
      <c r="Q15" s="29">
        <f>'Model'!$I$75</f>
        <v/>
      </c>
      <c r="R15" s="29">
        <f>'Model'!$J$75</f>
        <v/>
      </c>
      <c r="S15" s="29">
        <f>'Model'!$K$75</f>
        <v/>
      </c>
      <c r="T15" s="29">
        <f>'Model'!$L$75</f>
        <v/>
      </c>
      <c r="U15" s="29">
        <f>'Model'!$M$75</f>
        <v/>
      </c>
      <c r="V15" s="29">
        <f>'Model'!$N$75</f>
        <v/>
      </c>
      <c r="W15" s="29">
        <f>'Model'!$O$75</f>
        <v/>
      </c>
      <c r="X15" s="29">
        <f>'Model'!$P$75</f>
        <v/>
      </c>
      <c r="Y15" s="29">
        <f>'Model'!$Q$75</f>
        <v/>
      </c>
      <c r="Z15" s="29">
        <f>'Model'!$R$75</f>
        <v/>
      </c>
      <c r="AA15" s="29">
        <f>'Model'!$S$75</f>
        <v/>
      </c>
      <c r="AB15" s="29">
        <f>'Model'!$T$75</f>
        <v/>
      </c>
      <c r="AC15" s="29">
        <f>'Model'!$U$75</f>
        <v/>
      </c>
      <c r="AD15" s="29">
        <f>'Model'!$V$75</f>
        <v/>
      </c>
      <c r="AE15" s="29">
        <f>'Model'!$W$75</f>
        <v/>
      </c>
      <c r="AF15" s="29">
        <f>'Model'!$X$75</f>
        <v/>
      </c>
      <c r="AG15" s="29">
        <f>'Model'!$Y$75</f>
        <v/>
      </c>
      <c r="AH15" s="29">
        <f>'Model'!$Z$75</f>
        <v/>
      </c>
      <c r="AI15" s="29">
        <f>'Model'!$AA$75</f>
        <v/>
      </c>
      <c r="AJ15" s="29">
        <f>'Model'!$AB$75</f>
        <v/>
      </c>
      <c r="AK15" s="29">
        <f>'Model'!$AC$75</f>
        <v/>
      </c>
      <c r="AL15" s="29">
        <f>'Model'!$AD$75</f>
        <v/>
      </c>
      <c r="AM15" s="29">
        <f>'Model'!$AE$75</f>
        <v/>
      </c>
      <c r="AN15" s="29">
        <f>'Model'!$AF$75</f>
        <v/>
      </c>
      <c r="AO15" s="29">
        <f>'Model'!$AG$75</f>
        <v/>
      </c>
      <c r="AP15" s="29">
        <f>'Model'!$AH$75</f>
        <v/>
      </c>
      <c r="AQ15" s="29">
        <f>'Model'!$AI$75</f>
        <v/>
      </c>
    </row>
    <row r="16" ht="6" customHeight="1"/>
    <row r="17">
      <c r="B17" s="26" t="inlineStr">
        <is>
          <t>Beginning Cash</t>
        </is>
      </c>
      <c r="C17" s="27">
        <f>SUM(L17:O17)</f>
        <v/>
      </c>
      <c r="D17" s="27">
        <f>SUM(P17:S17)</f>
        <v/>
      </c>
      <c r="E17" s="27">
        <f>SUM(T17:W17)</f>
        <v/>
      </c>
      <c r="F17" s="27">
        <f>SUM(X17:AA17)</f>
        <v/>
      </c>
      <c r="G17" s="27">
        <f>SUM(AB17:AE17)</f>
        <v/>
      </c>
      <c r="H17" s="27">
        <f>SUM(AF17:AI17)</f>
        <v/>
      </c>
      <c r="I17" s="27">
        <f>SUM(AJ17:AM17)</f>
        <v/>
      </c>
      <c r="J17" s="27">
        <f>SUM(AN17:AQ17)</f>
        <v/>
      </c>
      <c r="L17" s="27">
        <f>'Model'!$D$77</f>
        <v/>
      </c>
      <c r="M17" s="27">
        <f>'Model'!$E$77</f>
        <v/>
      </c>
      <c r="N17" s="27">
        <f>'Model'!$F$77</f>
        <v/>
      </c>
      <c r="O17" s="27">
        <f>'Model'!$G$77</f>
        <v/>
      </c>
      <c r="P17" s="27">
        <f>'Model'!$H$77</f>
        <v/>
      </c>
      <c r="Q17" s="27">
        <f>'Model'!$I$77</f>
        <v/>
      </c>
      <c r="R17" s="27">
        <f>'Model'!$J$77</f>
        <v/>
      </c>
      <c r="S17" s="27">
        <f>'Model'!$K$77</f>
        <v/>
      </c>
      <c r="T17" s="27">
        <f>'Model'!$L$77</f>
        <v/>
      </c>
      <c r="U17" s="27">
        <f>'Model'!$M$77</f>
        <v/>
      </c>
      <c r="V17" s="27">
        <f>'Model'!$N$77</f>
        <v/>
      </c>
      <c r="W17" s="27">
        <f>'Model'!$O$77</f>
        <v/>
      </c>
      <c r="X17" s="27">
        <f>'Model'!$P$77</f>
        <v/>
      </c>
      <c r="Y17" s="27">
        <f>'Model'!$Q$77</f>
        <v/>
      </c>
      <c r="Z17" s="27">
        <f>'Model'!$R$77</f>
        <v/>
      </c>
      <c r="AA17" s="27">
        <f>'Model'!$S$77</f>
        <v/>
      </c>
      <c r="AB17" s="27">
        <f>'Model'!$T$77</f>
        <v/>
      </c>
      <c r="AC17" s="27">
        <f>'Model'!$U$77</f>
        <v/>
      </c>
      <c r="AD17" s="27">
        <f>'Model'!$V$77</f>
        <v/>
      </c>
      <c r="AE17" s="27">
        <f>'Model'!$W$77</f>
        <v/>
      </c>
      <c r="AF17" s="27">
        <f>'Model'!$X$77</f>
        <v/>
      </c>
      <c r="AG17" s="27">
        <f>'Model'!$Y$77</f>
        <v/>
      </c>
      <c r="AH17" s="27">
        <f>'Model'!$Z$77</f>
        <v/>
      </c>
      <c r="AI17" s="27">
        <f>'Model'!$AA$77</f>
        <v/>
      </c>
      <c r="AJ17" s="27">
        <f>'Model'!$AB$77</f>
        <v/>
      </c>
      <c r="AK17" s="27">
        <f>'Model'!$AC$77</f>
        <v/>
      </c>
      <c r="AL17" s="27">
        <f>'Model'!$AD$77</f>
        <v/>
      </c>
      <c r="AM17" s="27">
        <f>'Model'!$AE$77</f>
        <v/>
      </c>
      <c r="AN17" s="27">
        <f>'Model'!$AF$77</f>
        <v/>
      </c>
      <c r="AO17" s="27">
        <f>'Model'!$AG$77</f>
        <v/>
      </c>
      <c r="AP17" s="27">
        <f>'Model'!$AH$77</f>
        <v/>
      </c>
      <c r="AQ17" s="27">
        <f>'Model'!$AI$77</f>
        <v/>
      </c>
    </row>
    <row r="18" ht="6" customHeight="1"/>
    <row r="19">
      <c r="B19" s="35" t="inlineStr">
        <is>
          <t>Ending Cash</t>
        </is>
      </c>
      <c r="C19" s="36">
        <f>O19</f>
        <v/>
      </c>
      <c r="D19" s="36">
        <f>S19</f>
        <v/>
      </c>
      <c r="E19" s="36">
        <f>W19</f>
        <v/>
      </c>
      <c r="F19" s="36">
        <f>AA19</f>
        <v/>
      </c>
      <c r="G19" s="36">
        <f>AE19</f>
        <v/>
      </c>
      <c r="H19" s="36">
        <f>AI19</f>
        <v/>
      </c>
      <c r="I19" s="36">
        <f>AM19</f>
        <v/>
      </c>
      <c r="J19" s="36">
        <f>AQ19</f>
        <v/>
      </c>
      <c r="L19" s="36">
        <f>'Model'!$D$78</f>
        <v/>
      </c>
      <c r="M19" s="36">
        <f>'Model'!$E$78</f>
        <v/>
      </c>
      <c r="N19" s="36">
        <f>'Model'!$F$78</f>
        <v/>
      </c>
      <c r="O19" s="36">
        <f>'Model'!$G$78</f>
        <v/>
      </c>
      <c r="P19" s="36">
        <f>'Model'!$H$78</f>
        <v/>
      </c>
      <c r="Q19" s="36">
        <f>'Model'!$I$78</f>
        <v/>
      </c>
      <c r="R19" s="36">
        <f>'Model'!$J$78</f>
        <v/>
      </c>
      <c r="S19" s="36">
        <f>'Model'!$K$78</f>
        <v/>
      </c>
      <c r="T19" s="36">
        <f>'Model'!$L$78</f>
        <v/>
      </c>
      <c r="U19" s="36">
        <f>'Model'!$M$78</f>
        <v/>
      </c>
      <c r="V19" s="36">
        <f>'Model'!$N$78</f>
        <v/>
      </c>
      <c r="W19" s="36">
        <f>'Model'!$O$78</f>
        <v/>
      </c>
      <c r="X19" s="36">
        <f>'Model'!$P$78</f>
        <v/>
      </c>
      <c r="Y19" s="36">
        <f>'Model'!$Q$78</f>
        <v/>
      </c>
      <c r="Z19" s="36">
        <f>'Model'!$R$78</f>
        <v/>
      </c>
      <c r="AA19" s="36">
        <f>'Model'!$S$78</f>
        <v/>
      </c>
      <c r="AB19" s="36">
        <f>'Model'!$T$78</f>
        <v/>
      </c>
      <c r="AC19" s="36">
        <f>'Model'!$U$78</f>
        <v/>
      </c>
      <c r="AD19" s="36">
        <f>'Model'!$V$78</f>
        <v/>
      </c>
      <c r="AE19" s="36">
        <f>'Model'!$W$78</f>
        <v/>
      </c>
      <c r="AF19" s="36">
        <f>'Model'!$X$78</f>
        <v/>
      </c>
      <c r="AG19" s="36">
        <f>'Model'!$Y$78</f>
        <v/>
      </c>
      <c r="AH19" s="36">
        <f>'Model'!$Z$78</f>
        <v/>
      </c>
      <c r="AI19" s="36">
        <f>'Model'!$AA$78</f>
        <v/>
      </c>
      <c r="AJ19" s="36">
        <f>'Model'!$AB$78</f>
        <v/>
      </c>
      <c r="AK19" s="36">
        <f>'Model'!$AC$78</f>
        <v/>
      </c>
      <c r="AL19" s="36">
        <f>'Model'!$AD$78</f>
        <v/>
      </c>
      <c r="AM19" s="36">
        <f>'Model'!$AE$78</f>
        <v/>
      </c>
      <c r="AN19" s="36">
        <f>'Model'!$AF$78</f>
        <v/>
      </c>
      <c r="AO19" s="36">
        <f>'Model'!$AG$78</f>
        <v/>
      </c>
      <c r="AP19" s="36">
        <f>'Model'!$AH$78</f>
        <v/>
      </c>
      <c r="AQ19" s="36">
        <f>'Model'!$AI$78</f>
        <v/>
      </c>
    </row>
    <row r="20" ht="6" customHeight="1"/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Q19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 ht="6" customHeight="1"/>
    <row r="2">
      <c r="B2" s="1" t="inlineStr">
        <is>
          <t>Balance Sheet</t>
        </is>
      </c>
    </row>
    <row r="3">
      <c r="B3" s="4" t="inlineStr">
        <is>
          <t>Link to Cover</t>
        </is>
      </c>
    </row>
    <row r="4">
      <c r="A4" s="7" t="n"/>
      <c r="B4" s="21" t="inlineStr">
        <is>
          <t>All figures in $ thousands, unless otherwise noted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8" t="n"/>
      <c r="C6" s="22" t="n">
        <v>44197</v>
      </c>
      <c r="D6" s="22" t="n">
        <v>44562</v>
      </c>
      <c r="E6" s="22" t="n">
        <v>44927</v>
      </c>
      <c r="F6" s="22" t="n">
        <v>45292</v>
      </c>
      <c r="G6" s="22" t="n">
        <v>45658</v>
      </c>
      <c r="H6" s="23" t="n">
        <v>46023</v>
      </c>
      <c r="I6" s="23" t="n">
        <v>46388</v>
      </c>
      <c r="J6" s="23" t="n">
        <v>46753</v>
      </c>
      <c r="K6" s="8" t="inlineStr"/>
      <c r="L6" s="24" t="inlineStr">
        <is>
          <t>Q1 '21</t>
        </is>
      </c>
      <c r="M6" s="24" t="inlineStr">
        <is>
          <t>Q2 '21</t>
        </is>
      </c>
      <c r="N6" s="24" t="inlineStr">
        <is>
          <t>Q3 '21</t>
        </is>
      </c>
      <c r="O6" s="24" t="inlineStr">
        <is>
          <t>Q4 '21</t>
        </is>
      </c>
      <c r="P6" s="24" t="inlineStr">
        <is>
          <t>Q1 '22</t>
        </is>
      </c>
      <c r="Q6" s="24" t="inlineStr">
        <is>
          <t>Q2 '22</t>
        </is>
      </c>
      <c r="R6" s="24" t="inlineStr">
        <is>
          <t>Q3 '22</t>
        </is>
      </c>
      <c r="S6" s="24" t="inlineStr">
        <is>
          <t>Q4 '22</t>
        </is>
      </c>
      <c r="T6" s="24" t="inlineStr">
        <is>
          <t>Q1 '23</t>
        </is>
      </c>
      <c r="U6" s="24" t="inlineStr">
        <is>
          <t>Q2 '23</t>
        </is>
      </c>
      <c r="V6" s="24" t="inlineStr">
        <is>
          <t>Q3 '23</t>
        </is>
      </c>
      <c r="W6" s="24" t="inlineStr">
        <is>
          <t>Q4 '23</t>
        </is>
      </c>
      <c r="X6" s="24" t="inlineStr">
        <is>
          <t>Q1 '24</t>
        </is>
      </c>
      <c r="Y6" s="24" t="inlineStr">
        <is>
          <t>Q2 '24</t>
        </is>
      </c>
      <c r="Z6" s="24" t="inlineStr">
        <is>
          <t>Q3 '24</t>
        </is>
      </c>
      <c r="AA6" s="24" t="inlineStr">
        <is>
          <t>Q4 '24</t>
        </is>
      </c>
      <c r="AB6" s="24" t="inlineStr">
        <is>
          <t>Q1 '25</t>
        </is>
      </c>
      <c r="AC6" s="24" t="inlineStr">
        <is>
          <t>Q2 '25</t>
        </is>
      </c>
      <c r="AD6" s="24" t="inlineStr">
        <is>
          <t>Q3 '25</t>
        </is>
      </c>
      <c r="AE6" s="24" t="inlineStr">
        <is>
          <t>Q4 '25</t>
        </is>
      </c>
      <c r="AF6" s="24" t="inlineStr">
        <is>
          <t>Q1 '26</t>
        </is>
      </c>
      <c r="AG6" s="24" t="inlineStr">
        <is>
          <t>Q2 '26</t>
        </is>
      </c>
      <c r="AH6" s="25" t="inlineStr">
        <is>
          <t>Q3 '26</t>
        </is>
      </c>
      <c r="AI6" s="25" t="inlineStr">
        <is>
          <t>Q4 '26</t>
        </is>
      </c>
      <c r="AJ6" s="25" t="inlineStr">
        <is>
          <t>Q1 '27</t>
        </is>
      </c>
      <c r="AK6" s="25" t="inlineStr">
        <is>
          <t>Q2 '27</t>
        </is>
      </c>
      <c r="AL6" s="25" t="inlineStr">
        <is>
          <t>Q3 '27</t>
        </is>
      </c>
      <c r="AM6" s="25" t="inlineStr">
        <is>
          <t>Q4 '27</t>
        </is>
      </c>
      <c r="AN6" s="25" t="inlineStr">
        <is>
          <t>Q1 '28</t>
        </is>
      </c>
      <c r="AO6" s="25" t="inlineStr">
        <is>
          <t>Q2 '28</t>
        </is>
      </c>
      <c r="AP6" s="25" t="inlineStr">
        <is>
          <t>Q3 '28</t>
        </is>
      </c>
      <c r="AQ6" s="25" t="inlineStr">
        <is>
          <t>Q4 '28</t>
        </is>
      </c>
    </row>
    <row r="7">
      <c r="B7" s="26" t="inlineStr">
        <is>
          <t>Ending Cash</t>
        </is>
      </c>
      <c r="C7" s="27">
        <f>O7</f>
        <v/>
      </c>
      <c r="D7" s="27">
        <f>S7</f>
        <v/>
      </c>
      <c r="E7" s="27">
        <f>W7</f>
        <v/>
      </c>
      <c r="F7" s="27">
        <f>AA7</f>
        <v/>
      </c>
      <c r="G7" s="27">
        <f>AE7</f>
        <v/>
      </c>
      <c r="H7" s="27">
        <f>AI7</f>
        <v/>
      </c>
      <c r="I7" s="27">
        <f>AM7</f>
        <v/>
      </c>
      <c r="J7" s="27">
        <f>AQ7</f>
        <v/>
      </c>
      <c r="L7" s="27">
        <f>'Model'!$D$78</f>
        <v/>
      </c>
      <c r="M7" s="27">
        <f>'Model'!$E$78</f>
        <v/>
      </c>
      <c r="N7" s="27">
        <f>'Model'!$F$78</f>
        <v/>
      </c>
      <c r="O7" s="27">
        <f>'Model'!$G$78</f>
        <v/>
      </c>
      <c r="P7" s="27">
        <f>'Model'!$H$78</f>
        <v/>
      </c>
      <c r="Q7" s="27">
        <f>'Model'!$I$78</f>
        <v/>
      </c>
      <c r="R7" s="27">
        <f>'Model'!$J$78</f>
        <v/>
      </c>
      <c r="S7" s="27">
        <f>'Model'!$K$78</f>
        <v/>
      </c>
      <c r="T7" s="27">
        <f>'Model'!$L$78</f>
        <v/>
      </c>
      <c r="U7" s="27">
        <f>'Model'!$M$78</f>
        <v/>
      </c>
      <c r="V7" s="27">
        <f>'Model'!$N$78</f>
        <v/>
      </c>
      <c r="W7" s="27">
        <f>'Model'!$O$78</f>
        <v/>
      </c>
      <c r="X7" s="27">
        <f>'Model'!$P$78</f>
        <v/>
      </c>
      <c r="Y7" s="27">
        <f>'Model'!$Q$78</f>
        <v/>
      </c>
      <c r="Z7" s="27">
        <f>'Model'!$R$78</f>
        <v/>
      </c>
      <c r="AA7" s="27">
        <f>'Model'!$S$78</f>
        <v/>
      </c>
      <c r="AB7" s="27">
        <f>'Model'!$T$78</f>
        <v/>
      </c>
      <c r="AC7" s="27">
        <f>'Model'!$U$78</f>
        <v/>
      </c>
      <c r="AD7" s="27">
        <f>'Model'!$V$78</f>
        <v/>
      </c>
      <c r="AE7" s="27">
        <f>'Model'!$W$78</f>
        <v/>
      </c>
      <c r="AF7" s="27">
        <f>'Model'!$X$78</f>
        <v/>
      </c>
      <c r="AG7" s="27">
        <f>'Model'!$Y$78</f>
        <v/>
      </c>
      <c r="AH7" s="27">
        <f>'Model'!$Z$78</f>
        <v/>
      </c>
      <c r="AI7" s="27">
        <f>'Model'!$AA$78</f>
        <v/>
      </c>
      <c r="AJ7" s="27">
        <f>'Model'!$AB$78</f>
        <v/>
      </c>
      <c r="AK7" s="27">
        <f>'Model'!$AC$78</f>
        <v/>
      </c>
      <c r="AL7" s="27">
        <f>'Model'!$AD$78</f>
        <v/>
      </c>
      <c r="AM7" s="27">
        <f>'Model'!$AE$78</f>
        <v/>
      </c>
      <c r="AN7" s="27">
        <f>'Model'!$AF$78</f>
        <v/>
      </c>
      <c r="AO7" s="27">
        <f>'Model'!$AG$78</f>
        <v/>
      </c>
      <c r="AP7" s="27">
        <f>'Model'!$AH$78</f>
        <v/>
      </c>
      <c r="AQ7" s="27">
        <f>'Model'!$AI$78</f>
        <v/>
      </c>
    </row>
    <row r="8">
      <c r="B8" s="26" t="inlineStr">
        <is>
          <t>Accounts Receivable</t>
        </is>
      </c>
      <c r="C8" s="27">
        <f>O8</f>
        <v/>
      </c>
      <c r="D8" s="27">
        <f>S8</f>
        <v/>
      </c>
      <c r="E8" s="27">
        <f>W8</f>
        <v/>
      </c>
      <c r="F8" s="27">
        <f>AA8</f>
        <v/>
      </c>
      <c r="G8" s="27">
        <f>AE8</f>
        <v/>
      </c>
      <c r="H8" s="27">
        <f>AI8</f>
        <v/>
      </c>
      <c r="I8" s="27">
        <f>AM8</f>
        <v/>
      </c>
      <c r="J8" s="27">
        <f>AQ8</f>
        <v/>
      </c>
      <c r="L8" s="27">
        <f>'Model'!$D$81</f>
        <v/>
      </c>
      <c r="M8" s="27">
        <f>'Model'!$E$81</f>
        <v/>
      </c>
      <c r="N8" s="27">
        <f>'Model'!$F$81</f>
        <v/>
      </c>
      <c r="O8" s="27">
        <f>'Model'!$G$81</f>
        <v/>
      </c>
      <c r="P8" s="27">
        <f>'Model'!$H$81</f>
        <v/>
      </c>
      <c r="Q8" s="27">
        <f>'Model'!$I$81</f>
        <v/>
      </c>
      <c r="R8" s="27">
        <f>'Model'!$J$81</f>
        <v/>
      </c>
      <c r="S8" s="27">
        <f>'Model'!$K$81</f>
        <v/>
      </c>
      <c r="T8" s="27">
        <f>'Model'!$L$81</f>
        <v/>
      </c>
      <c r="U8" s="27">
        <f>'Model'!$M$81</f>
        <v/>
      </c>
      <c r="V8" s="27">
        <f>'Model'!$N$81</f>
        <v/>
      </c>
      <c r="W8" s="27">
        <f>'Model'!$O$81</f>
        <v/>
      </c>
      <c r="X8" s="27">
        <f>'Model'!$P$81</f>
        <v/>
      </c>
      <c r="Y8" s="27">
        <f>'Model'!$Q$81</f>
        <v/>
      </c>
      <c r="Z8" s="27">
        <f>'Model'!$R$81</f>
        <v/>
      </c>
      <c r="AA8" s="27">
        <f>'Model'!$S$81</f>
        <v/>
      </c>
      <c r="AB8" s="27">
        <f>'Model'!$T$81</f>
        <v/>
      </c>
      <c r="AC8" s="27">
        <f>'Model'!$U$81</f>
        <v/>
      </c>
      <c r="AD8" s="27">
        <f>'Model'!$V$81</f>
        <v/>
      </c>
      <c r="AE8" s="27">
        <f>'Model'!$W$81</f>
        <v/>
      </c>
      <c r="AF8" s="27">
        <f>'Model'!$X$81</f>
        <v/>
      </c>
      <c r="AG8" s="27">
        <f>'Model'!$Y$81</f>
        <v/>
      </c>
      <c r="AH8" s="27">
        <f>'Model'!$Z$81</f>
        <v/>
      </c>
      <c r="AI8" s="27">
        <f>'Model'!$AA$81</f>
        <v/>
      </c>
      <c r="AJ8" s="27">
        <f>'Model'!$AB$81</f>
        <v/>
      </c>
      <c r="AK8" s="27">
        <f>'Model'!$AC$81</f>
        <v/>
      </c>
      <c r="AL8" s="27">
        <f>'Model'!$AD$81</f>
        <v/>
      </c>
      <c r="AM8" s="27">
        <f>'Model'!$AE$81</f>
        <v/>
      </c>
      <c r="AN8" s="27">
        <f>'Model'!$AF$81</f>
        <v/>
      </c>
      <c r="AO8" s="27">
        <f>'Model'!$AG$81</f>
        <v/>
      </c>
      <c r="AP8" s="27">
        <f>'Model'!$AH$81</f>
        <v/>
      </c>
      <c r="AQ8" s="27">
        <f>'Model'!$AI$81</f>
        <v/>
      </c>
    </row>
    <row r="9">
      <c r="B9" s="26" t="inlineStr">
        <is>
          <t>Ending PP&amp;E</t>
        </is>
      </c>
      <c r="C9" s="27">
        <f>O9</f>
        <v/>
      </c>
      <c r="D9" s="27">
        <f>S9</f>
        <v/>
      </c>
      <c r="E9" s="27">
        <f>W9</f>
        <v/>
      </c>
      <c r="F9" s="27">
        <f>AA9</f>
        <v/>
      </c>
      <c r="G9" s="27">
        <f>AE9</f>
        <v/>
      </c>
      <c r="H9" s="27">
        <f>AI9</f>
        <v/>
      </c>
      <c r="I9" s="27">
        <f>AM9</f>
        <v/>
      </c>
      <c r="J9" s="27">
        <f>AQ9</f>
        <v/>
      </c>
      <c r="L9" s="27">
        <f>'Model'!$D$83</f>
        <v/>
      </c>
      <c r="M9" s="27">
        <f>'Model'!$E$83</f>
        <v/>
      </c>
      <c r="N9" s="27">
        <f>'Model'!$F$83</f>
        <v/>
      </c>
      <c r="O9" s="27">
        <f>'Model'!$G$83</f>
        <v/>
      </c>
      <c r="P9" s="27">
        <f>'Model'!$H$83</f>
        <v/>
      </c>
      <c r="Q9" s="27">
        <f>'Model'!$I$83</f>
        <v/>
      </c>
      <c r="R9" s="27">
        <f>'Model'!$J$83</f>
        <v/>
      </c>
      <c r="S9" s="27">
        <f>'Model'!$K$83</f>
        <v/>
      </c>
      <c r="T9" s="27">
        <f>'Model'!$L$83</f>
        <v/>
      </c>
      <c r="U9" s="27">
        <f>'Model'!$M$83</f>
        <v/>
      </c>
      <c r="V9" s="27">
        <f>'Model'!$N$83</f>
        <v/>
      </c>
      <c r="W9" s="27">
        <f>'Model'!$O$83</f>
        <v/>
      </c>
      <c r="X9" s="27">
        <f>'Model'!$P$83</f>
        <v/>
      </c>
      <c r="Y9" s="27">
        <f>'Model'!$Q$83</f>
        <v/>
      </c>
      <c r="Z9" s="27">
        <f>'Model'!$R$83</f>
        <v/>
      </c>
      <c r="AA9" s="27">
        <f>'Model'!$S$83</f>
        <v/>
      </c>
      <c r="AB9" s="27">
        <f>'Model'!$T$83</f>
        <v/>
      </c>
      <c r="AC9" s="27">
        <f>'Model'!$U$83</f>
        <v/>
      </c>
      <c r="AD9" s="27">
        <f>'Model'!$V$83</f>
        <v/>
      </c>
      <c r="AE9" s="27">
        <f>'Model'!$W$83</f>
        <v/>
      </c>
      <c r="AF9" s="27">
        <f>'Model'!$X$83</f>
        <v/>
      </c>
      <c r="AG9" s="27">
        <f>'Model'!$Y$83</f>
        <v/>
      </c>
      <c r="AH9" s="27">
        <f>'Model'!$Z$83</f>
        <v/>
      </c>
      <c r="AI9" s="27">
        <f>'Model'!$AA$83</f>
        <v/>
      </c>
      <c r="AJ9" s="27">
        <f>'Model'!$AB$83</f>
        <v/>
      </c>
      <c r="AK9" s="27">
        <f>'Model'!$AC$83</f>
        <v/>
      </c>
      <c r="AL9" s="27">
        <f>'Model'!$AD$83</f>
        <v/>
      </c>
      <c r="AM9" s="27">
        <f>'Model'!$AE$83</f>
        <v/>
      </c>
      <c r="AN9" s="27">
        <f>'Model'!$AF$83</f>
        <v/>
      </c>
      <c r="AO9" s="27">
        <f>'Model'!$AG$83</f>
        <v/>
      </c>
      <c r="AP9" s="27">
        <f>'Model'!$AH$83</f>
        <v/>
      </c>
      <c r="AQ9" s="27">
        <f>'Model'!$AI$83</f>
        <v/>
      </c>
    </row>
    <row r="10">
      <c r="B10" s="28" t="inlineStr">
        <is>
          <t>Total Assets</t>
        </is>
      </c>
      <c r="C10" s="29">
        <f>O10</f>
        <v/>
      </c>
      <c r="D10" s="29">
        <f>S10</f>
        <v/>
      </c>
      <c r="E10" s="29">
        <f>W10</f>
        <v/>
      </c>
      <c r="F10" s="29">
        <f>AA10</f>
        <v/>
      </c>
      <c r="G10" s="29">
        <f>AE10</f>
        <v/>
      </c>
      <c r="H10" s="29">
        <f>AI10</f>
        <v/>
      </c>
      <c r="I10" s="29">
        <f>AM10</f>
        <v/>
      </c>
      <c r="J10" s="29">
        <f>AQ10</f>
        <v/>
      </c>
      <c r="L10" s="29">
        <f>'Model'!$D$84</f>
        <v/>
      </c>
      <c r="M10" s="29">
        <f>'Model'!$E$84</f>
        <v/>
      </c>
      <c r="N10" s="29">
        <f>'Model'!$F$84</f>
        <v/>
      </c>
      <c r="O10" s="29">
        <f>'Model'!$G$84</f>
        <v/>
      </c>
      <c r="P10" s="29">
        <f>'Model'!$H$84</f>
        <v/>
      </c>
      <c r="Q10" s="29">
        <f>'Model'!$I$84</f>
        <v/>
      </c>
      <c r="R10" s="29">
        <f>'Model'!$J$84</f>
        <v/>
      </c>
      <c r="S10" s="29">
        <f>'Model'!$K$84</f>
        <v/>
      </c>
      <c r="T10" s="29">
        <f>'Model'!$L$84</f>
        <v/>
      </c>
      <c r="U10" s="29">
        <f>'Model'!$M$84</f>
        <v/>
      </c>
      <c r="V10" s="29">
        <f>'Model'!$N$84</f>
        <v/>
      </c>
      <c r="W10" s="29">
        <f>'Model'!$O$84</f>
        <v/>
      </c>
      <c r="X10" s="29">
        <f>'Model'!$P$84</f>
        <v/>
      </c>
      <c r="Y10" s="29">
        <f>'Model'!$Q$84</f>
        <v/>
      </c>
      <c r="Z10" s="29">
        <f>'Model'!$R$84</f>
        <v/>
      </c>
      <c r="AA10" s="29">
        <f>'Model'!$S$84</f>
        <v/>
      </c>
      <c r="AB10" s="29">
        <f>'Model'!$T$84</f>
        <v/>
      </c>
      <c r="AC10" s="29">
        <f>'Model'!$U$84</f>
        <v/>
      </c>
      <c r="AD10" s="29">
        <f>'Model'!$V$84</f>
        <v/>
      </c>
      <c r="AE10" s="29">
        <f>'Model'!$W$84</f>
        <v/>
      </c>
      <c r="AF10" s="29">
        <f>'Model'!$X$84</f>
        <v/>
      </c>
      <c r="AG10" s="29">
        <f>'Model'!$Y$84</f>
        <v/>
      </c>
      <c r="AH10" s="29">
        <f>'Model'!$Z$84</f>
        <v/>
      </c>
      <c r="AI10" s="29">
        <f>'Model'!$AA$84</f>
        <v/>
      </c>
      <c r="AJ10" s="29">
        <f>'Model'!$AB$84</f>
        <v/>
      </c>
      <c r="AK10" s="29">
        <f>'Model'!$AC$84</f>
        <v/>
      </c>
      <c r="AL10" s="29">
        <f>'Model'!$AD$84</f>
        <v/>
      </c>
      <c r="AM10" s="29">
        <f>'Model'!$AE$84</f>
        <v/>
      </c>
      <c r="AN10" s="29">
        <f>'Model'!$AF$84</f>
        <v/>
      </c>
      <c r="AO10" s="29">
        <f>'Model'!$AG$84</f>
        <v/>
      </c>
      <c r="AP10" s="29">
        <f>'Model'!$AH$84</f>
        <v/>
      </c>
      <c r="AQ10" s="29">
        <f>'Model'!$AI$84</f>
        <v/>
      </c>
    </row>
    <row r="11" ht="6" customHeight="1">
      <c r="B11" s="30" t="n"/>
      <c r="C11" s="30" t="n"/>
      <c r="D11" s="30" t="n"/>
      <c r="E11" s="30" t="n"/>
      <c r="F11" s="30" t="n"/>
      <c r="G11" s="30" t="n"/>
      <c r="H11" s="30" t="n"/>
      <c r="I11" s="30" t="n"/>
      <c r="J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  <c r="AB11" s="30" t="n"/>
      <c r="AC11" s="30" t="n"/>
      <c r="AD11" s="30" t="n"/>
      <c r="AE11" s="30" t="n"/>
      <c r="AF11" s="30" t="n"/>
      <c r="AG11" s="30" t="n"/>
      <c r="AH11" s="30" t="n"/>
      <c r="AI11" s="30" t="n"/>
      <c r="AJ11" s="30" t="n"/>
      <c r="AK11" s="30" t="n"/>
      <c r="AL11" s="30" t="n"/>
      <c r="AM11" s="30" t="n"/>
      <c r="AN11" s="30" t="n"/>
      <c r="AO11" s="30" t="n"/>
      <c r="AP11" s="30" t="n"/>
      <c r="AQ11" s="30" t="n"/>
    </row>
    <row r="12">
      <c r="B12" s="26" t="inlineStr">
        <is>
          <t>Accounts Payable</t>
        </is>
      </c>
      <c r="C12" s="27">
        <f>O12</f>
        <v/>
      </c>
      <c r="D12" s="27">
        <f>S12</f>
        <v/>
      </c>
      <c r="E12" s="27">
        <f>W12</f>
        <v/>
      </c>
      <c r="F12" s="27">
        <f>AA12</f>
        <v/>
      </c>
      <c r="G12" s="27">
        <f>AE12</f>
        <v/>
      </c>
      <c r="H12" s="27">
        <f>AI12</f>
        <v/>
      </c>
      <c r="I12" s="27">
        <f>AM12</f>
        <v/>
      </c>
      <c r="J12" s="27">
        <f>AQ12</f>
        <v/>
      </c>
      <c r="L12" s="27">
        <f>'Model'!$D$86</f>
        <v/>
      </c>
      <c r="M12" s="27">
        <f>'Model'!$E$86</f>
        <v/>
      </c>
      <c r="N12" s="27">
        <f>'Model'!$F$86</f>
        <v/>
      </c>
      <c r="O12" s="27">
        <f>'Model'!$G$86</f>
        <v/>
      </c>
      <c r="P12" s="27">
        <f>'Model'!$H$86</f>
        <v/>
      </c>
      <c r="Q12" s="27">
        <f>'Model'!$I$86</f>
        <v/>
      </c>
      <c r="R12" s="27">
        <f>'Model'!$J$86</f>
        <v/>
      </c>
      <c r="S12" s="27">
        <f>'Model'!$K$86</f>
        <v/>
      </c>
      <c r="T12" s="27">
        <f>'Model'!$L$86</f>
        <v/>
      </c>
      <c r="U12" s="27">
        <f>'Model'!$M$86</f>
        <v/>
      </c>
      <c r="V12" s="27">
        <f>'Model'!$N$86</f>
        <v/>
      </c>
      <c r="W12" s="27">
        <f>'Model'!$O$86</f>
        <v/>
      </c>
      <c r="X12" s="27">
        <f>'Model'!$P$86</f>
        <v/>
      </c>
      <c r="Y12" s="27">
        <f>'Model'!$Q$86</f>
        <v/>
      </c>
      <c r="Z12" s="27">
        <f>'Model'!$R$86</f>
        <v/>
      </c>
      <c r="AA12" s="27">
        <f>'Model'!$S$86</f>
        <v/>
      </c>
      <c r="AB12" s="27">
        <f>'Model'!$T$86</f>
        <v/>
      </c>
      <c r="AC12" s="27">
        <f>'Model'!$U$86</f>
        <v/>
      </c>
      <c r="AD12" s="27">
        <f>'Model'!$V$86</f>
        <v/>
      </c>
      <c r="AE12" s="27">
        <f>'Model'!$W$86</f>
        <v/>
      </c>
      <c r="AF12" s="27">
        <f>'Model'!$X$86</f>
        <v/>
      </c>
      <c r="AG12" s="27">
        <f>'Model'!$Y$86</f>
        <v/>
      </c>
      <c r="AH12" s="27">
        <f>'Model'!$Z$86</f>
        <v/>
      </c>
      <c r="AI12" s="27">
        <f>'Model'!$AA$86</f>
        <v/>
      </c>
      <c r="AJ12" s="27">
        <f>'Model'!$AB$86</f>
        <v/>
      </c>
      <c r="AK12" s="27">
        <f>'Model'!$AC$86</f>
        <v/>
      </c>
      <c r="AL12" s="27">
        <f>'Model'!$AD$86</f>
        <v/>
      </c>
      <c r="AM12" s="27">
        <f>'Model'!$AE$86</f>
        <v/>
      </c>
      <c r="AN12" s="27">
        <f>'Model'!$AF$86</f>
        <v/>
      </c>
      <c r="AO12" s="27">
        <f>'Model'!$AG$86</f>
        <v/>
      </c>
      <c r="AP12" s="27">
        <f>'Model'!$AH$86</f>
        <v/>
      </c>
      <c r="AQ12" s="27">
        <f>'Model'!$AI$86</f>
        <v/>
      </c>
    </row>
    <row r="13">
      <c r="B13" s="28" t="inlineStr">
        <is>
          <t>Total Liabilities</t>
        </is>
      </c>
      <c r="C13" s="29">
        <f>O13</f>
        <v/>
      </c>
      <c r="D13" s="29">
        <f>S13</f>
        <v/>
      </c>
      <c r="E13" s="29">
        <f>W13</f>
        <v/>
      </c>
      <c r="F13" s="29">
        <f>AA13</f>
        <v/>
      </c>
      <c r="G13" s="29">
        <f>AE13</f>
        <v/>
      </c>
      <c r="H13" s="29">
        <f>AI13</f>
        <v/>
      </c>
      <c r="I13" s="29">
        <f>AM13</f>
        <v/>
      </c>
      <c r="J13" s="29">
        <f>AQ13</f>
        <v/>
      </c>
      <c r="L13" s="29">
        <f>'Model'!$D$87</f>
        <v/>
      </c>
      <c r="M13" s="29">
        <f>'Model'!$E$87</f>
        <v/>
      </c>
      <c r="N13" s="29">
        <f>'Model'!$F$87</f>
        <v/>
      </c>
      <c r="O13" s="29">
        <f>'Model'!$G$87</f>
        <v/>
      </c>
      <c r="P13" s="29">
        <f>'Model'!$H$87</f>
        <v/>
      </c>
      <c r="Q13" s="29">
        <f>'Model'!$I$87</f>
        <v/>
      </c>
      <c r="R13" s="29">
        <f>'Model'!$J$87</f>
        <v/>
      </c>
      <c r="S13" s="29">
        <f>'Model'!$K$87</f>
        <v/>
      </c>
      <c r="T13" s="29">
        <f>'Model'!$L$87</f>
        <v/>
      </c>
      <c r="U13" s="29">
        <f>'Model'!$M$87</f>
        <v/>
      </c>
      <c r="V13" s="29">
        <f>'Model'!$N$87</f>
        <v/>
      </c>
      <c r="W13" s="29">
        <f>'Model'!$O$87</f>
        <v/>
      </c>
      <c r="X13" s="29">
        <f>'Model'!$P$87</f>
        <v/>
      </c>
      <c r="Y13" s="29">
        <f>'Model'!$Q$87</f>
        <v/>
      </c>
      <c r="Z13" s="29">
        <f>'Model'!$R$87</f>
        <v/>
      </c>
      <c r="AA13" s="29">
        <f>'Model'!$S$87</f>
        <v/>
      </c>
      <c r="AB13" s="29">
        <f>'Model'!$T$87</f>
        <v/>
      </c>
      <c r="AC13" s="29">
        <f>'Model'!$U$87</f>
        <v/>
      </c>
      <c r="AD13" s="29">
        <f>'Model'!$V$87</f>
        <v/>
      </c>
      <c r="AE13" s="29">
        <f>'Model'!$W$87</f>
        <v/>
      </c>
      <c r="AF13" s="29">
        <f>'Model'!$X$87</f>
        <v/>
      </c>
      <c r="AG13" s="29">
        <f>'Model'!$Y$87</f>
        <v/>
      </c>
      <c r="AH13" s="29">
        <f>'Model'!$Z$87</f>
        <v/>
      </c>
      <c r="AI13" s="29">
        <f>'Model'!$AA$87</f>
        <v/>
      </c>
      <c r="AJ13" s="29">
        <f>'Model'!$AB$87</f>
        <v/>
      </c>
      <c r="AK13" s="29">
        <f>'Model'!$AC$87</f>
        <v/>
      </c>
      <c r="AL13" s="29">
        <f>'Model'!$AD$87</f>
        <v/>
      </c>
      <c r="AM13" s="29">
        <f>'Model'!$AE$87</f>
        <v/>
      </c>
      <c r="AN13" s="29">
        <f>'Model'!$AF$87</f>
        <v/>
      </c>
      <c r="AO13" s="29">
        <f>'Model'!$AG$87</f>
        <v/>
      </c>
      <c r="AP13" s="29">
        <f>'Model'!$AH$87</f>
        <v/>
      </c>
      <c r="AQ13" s="29">
        <f>'Model'!$AI$87</f>
        <v/>
      </c>
    </row>
    <row r="14" ht="6" customHeight="1"/>
    <row r="15">
      <c r="B15" s="28" t="inlineStr">
        <is>
          <t>Total Equity</t>
        </is>
      </c>
      <c r="C15" s="29">
        <f>O15</f>
        <v/>
      </c>
      <c r="D15" s="29">
        <f>S15</f>
        <v/>
      </c>
      <c r="E15" s="29">
        <f>W15</f>
        <v/>
      </c>
      <c r="F15" s="29">
        <f>AA15</f>
        <v/>
      </c>
      <c r="G15" s="29">
        <f>AE15</f>
        <v/>
      </c>
      <c r="H15" s="29">
        <f>AI15</f>
        <v/>
      </c>
      <c r="I15" s="29">
        <f>AM15</f>
        <v/>
      </c>
      <c r="J15" s="29">
        <f>AQ15</f>
        <v/>
      </c>
      <c r="L15" s="29">
        <f>'Model'!$D$89</f>
        <v/>
      </c>
      <c r="M15" s="29">
        <f>'Model'!$E$89</f>
        <v/>
      </c>
      <c r="N15" s="29">
        <f>'Model'!$F$89</f>
        <v/>
      </c>
      <c r="O15" s="29">
        <f>'Model'!$G$89</f>
        <v/>
      </c>
      <c r="P15" s="29">
        <f>'Model'!$H$89</f>
        <v/>
      </c>
      <c r="Q15" s="29">
        <f>'Model'!$I$89</f>
        <v/>
      </c>
      <c r="R15" s="29">
        <f>'Model'!$J$89</f>
        <v/>
      </c>
      <c r="S15" s="29">
        <f>'Model'!$K$89</f>
        <v/>
      </c>
      <c r="T15" s="29">
        <f>'Model'!$L$89</f>
        <v/>
      </c>
      <c r="U15" s="29">
        <f>'Model'!$M$89</f>
        <v/>
      </c>
      <c r="V15" s="29">
        <f>'Model'!$N$89</f>
        <v/>
      </c>
      <c r="W15" s="29">
        <f>'Model'!$O$89</f>
        <v/>
      </c>
      <c r="X15" s="29">
        <f>'Model'!$P$89</f>
        <v/>
      </c>
      <c r="Y15" s="29">
        <f>'Model'!$Q$89</f>
        <v/>
      </c>
      <c r="Z15" s="29">
        <f>'Model'!$R$89</f>
        <v/>
      </c>
      <c r="AA15" s="29">
        <f>'Model'!$S$89</f>
        <v/>
      </c>
      <c r="AB15" s="29">
        <f>'Model'!$T$89</f>
        <v/>
      </c>
      <c r="AC15" s="29">
        <f>'Model'!$U$89</f>
        <v/>
      </c>
      <c r="AD15" s="29">
        <f>'Model'!$V$89</f>
        <v/>
      </c>
      <c r="AE15" s="29">
        <f>'Model'!$W$89</f>
        <v/>
      </c>
      <c r="AF15" s="29">
        <f>'Model'!$X$89</f>
        <v/>
      </c>
      <c r="AG15" s="29">
        <f>'Model'!$Y$89</f>
        <v/>
      </c>
      <c r="AH15" s="29">
        <f>'Model'!$Z$89</f>
        <v/>
      </c>
      <c r="AI15" s="29">
        <f>'Model'!$AA$89</f>
        <v/>
      </c>
      <c r="AJ15" s="29">
        <f>'Model'!$AB$89</f>
        <v/>
      </c>
      <c r="AK15" s="29">
        <f>'Model'!$AC$89</f>
        <v/>
      </c>
      <c r="AL15" s="29">
        <f>'Model'!$AD$89</f>
        <v/>
      </c>
      <c r="AM15" s="29">
        <f>'Model'!$AE$89</f>
        <v/>
      </c>
      <c r="AN15" s="29">
        <f>'Model'!$AF$89</f>
        <v/>
      </c>
      <c r="AO15" s="29">
        <f>'Model'!$AG$89</f>
        <v/>
      </c>
      <c r="AP15" s="29">
        <f>'Model'!$AH$89</f>
        <v/>
      </c>
      <c r="AQ15" s="29">
        <f>'Model'!$AI$89</f>
        <v/>
      </c>
    </row>
    <row r="16" ht="6" customHeight="1"/>
    <row r="17">
      <c r="B17" s="28" t="inlineStr">
        <is>
          <t>Total Liabilities &amp; Equity</t>
        </is>
      </c>
      <c r="C17" s="29">
        <f>O17</f>
        <v/>
      </c>
      <c r="D17" s="29">
        <f>S17</f>
        <v/>
      </c>
      <c r="E17" s="29">
        <f>W17</f>
        <v/>
      </c>
      <c r="F17" s="29">
        <f>AA17</f>
        <v/>
      </c>
      <c r="G17" s="29">
        <f>AE17</f>
        <v/>
      </c>
      <c r="H17" s="29">
        <f>AI17</f>
        <v/>
      </c>
      <c r="I17" s="29">
        <f>AM17</f>
        <v/>
      </c>
      <c r="J17" s="29">
        <f>AQ17</f>
        <v/>
      </c>
      <c r="L17" s="29">
        <f>'Model'!$D$91</f>
        <v/>
      </c>
      <c r="M17" s="29">
        <f>'Model'!$E$91</f>
        <v/>
      </c>
      <c r="N17" s="29">
        <f>'Model'!$F$91</f>
        <v/>
      </c>
      <c r="O17" s="29">
        <f>'Model'!$G$91</f>
        <v/>
      </c>
      <c r="P17" s="29">
        <f>'Model'!$H$91</f>
        <v/>
      </c>
      <c r="Q17" s="29">
        <f>'Model'!$I$91</f>
        <v/>
      </c>
      <c r="R17" s="29">
        <f>'Model'!$J$91</f>
        <v/>
      </c>
      <c r="S17" s="29">
        <f>'Model'!$K$91</f>
        <v/>
      </c>
      <c r="T17" s="29">
        <f>'Model'!$L$91</f>
        <v/>
      </c>
      <c r="U17" s="29">
        <f>'Model'!$M$91</f>
        <v/>
      </c>
      <c r="V17" s="29">
        <f>'Model'!$N$91</f>
        <v/>
      </c>
      <c r="W17" s="29">
        <f>'Model'!$O$91</f>
        <v/>
      </c>
      <c r="X17" s="29">
        <f>'Model'!$P$91</f>
        <v/>
      </c>
      <c r="Y17" s="29">
        <f>'Model'!$Q$91</f>
        <v/>
      </c>
      <c r="Z17" s="29">
        <f>'Model'!$R$91</f>
        <v/>
      </c>
      <c r="AA17" s="29">
        <f>'Model'!$S$91</f>
        <v/>
      </c>
      <c r="AB17" s="29">
        <f>'Model'!$T$91</f>
        <v/>
      </c>
      <c r="AC17" s="29">
        <f>'Model'!$U$91</f>
        <v/>
      </c>
      <c r="AD17" s="29">
        <f>'Model'!$V$91</f>
        <v/>
      </c>
      <c r="AE17" s="29">
        <f>'Model'!$W$91</f>
        <v/>
      </c>
      <c r="AF17" s="29">
        <f>'Model'!$X$91</f>
        <v/>
      </c>
      <c r="AG17" s="29">
        <f>'Model'!$Y$91</f>
        <v/>
      </c>
      <c r="AH17" s="29">
        <f>'Model'!$Z$91</f>
        <v/>
      </c>
      <c r="AI17" s="29">
        <f>'Model'!$AA$91</f>
        <v/>
      </c>
      <c r="AJ17" s="29">
        <f>'Model'!$AB$91</f>
        <v/>
      </c>
      <c r="AK17" s="29">
        <f>'Model'!$AC$91</f>
        <v/>
      </c>
      <c r="AL17" s="29">
        <f>'Model'!$AD$91</f>
        <v/>
      </c>
      <c r="AM17" s="29">
        <f>'Model'!$AE$91</f>
        <v/>
      </c>
      <c r="AN17" s="29">
        <f>'Model'!$AF$91</f>
        <v/>
      </c>
      <c r="AO17" s="29">
        <f>'Model'!$AG$91</f>
        <v/>
      </c>
      <c r="AP17" s="29">
        <f>'Model'!$AH$91</f>
        <v/>
      </c>
      <c r="AQ17" s="29">
        <f>'Model'!$AI$91</f>
        <v/>
      </c>
    </row>
    <row r="18" ht="6" customHeight="1"/>
    <row r="19">
      <c r="B19" s="26" t="inlineStr">
        <is>
          <t>Balance Check (A - L - E)</t>
        </is>
      </c>
      <c r="C19" s="27">
        <f>O19</f>
        <v/>
      </c>
      <c r="D19" s="27">
        <f>S19</f>
        <v/>
      </c>
      <c r="E19" s="27">
        <f>W19</f>
        <v/>
      </c>
      <c r="F19" s="27">
        <f>AA19</f>
        <v/>
      </c>
      <c r="G19" s="27">
        <f>AE19</f>
        <v/>
      </c>
      <c r="H19" s="27">
        <f>AI19</f>
        <v/>
      </c>
      <c r="I19" s="27">
        <f>AM19</f>
        <v/>
      </c>
      <c r="J19" s="27">
        <f>AQ19</f>
        <v/>
      </c>
      <c r="L19" s="27">
        <f>'Model'!$D$93</f>
        <v/>
      </c>
      <c r="M19" s="27">
        <f>'Model'!$E$93</f>
        <v/>
      </c>
      <c r="N19" s="27">
        <f>'Model'!$F$93</f>
        <v/>
      </c>
      <c r="O19" s="27">
        <f>'Model'!$G$93</f>
        <v/>
      </c>
      <c r="P19" s="27">
        <f>'Model'!$H$93</f>
        <v/>
      </c>
      <c r="Q19" s="27">
        <f>'Model'!$I$93</f>
        <v/>
      </c>
      <c r="R19" s="27">
        <f>'Model'!$J$93</f>
        <v/>
      </c>
      <c r="S19" s="27">
        <f>'Model'!$K$93</f>
        <v/>
      </c>
      <c r="T19" s="27">
        <f>'Model'!$L$93</f>
        <v/>
      </c>
      <c r="U19" s="27">
        <f>'Model'!$M$93</f>
        <v/>
      </c>
      <c r="V19" s="27">
        <f>'Model'!$N$93</f>
        <v/>
      </c>
      <c r="W19" s="27">
        <f>'Model'!$O$93</f>
        <v/>
      </c>
      <c r="X19" s="27">
        <f>'Model'!$P$93</f>
        <v/>
      </c>
      <c r="Y19" s="27">
        <f>'Model'!$Q$93</f>
        <v/>
      </c>
      <c r="Z19" s="27">
        <f>'Model'!$R$93</f>
        <v/>
      </c>
      <c r="AA19" s="27">
        <f>'Model'!$S$93</f>
        <v/>
      </c>
      <c r="AB19" s="27">
        <f>'Model'!$T$93</f>
        <v/>
      </c>
      <c r="AC19" s="27">
        <f>'Model'!$U$93</f>
        <v/>
      </c>
      <c r="AD19" s="27">
        <f>'Model'!$V$93</f>
        <v/>
      </c>
      <c r="AE19" s="27">
        <f>'Model'!$W$93</f>
        <v/>
      </c>
      <c r="AF19" s="27">
        <f>'Model'!$X$93</f>
        <v/>
      </c>
      <c r="AG19" s="27">
        <f>'Model'!$Y$93</f>
        <v/>
      </c>
      <c r="AH19" s="27">
        <f>'Model'!$Z$93</f>
        <v/>
      </c>
      <c r="AI19" s="27">
        <f>'Model'!$AA$93</f>
        <v/>
      </c>
      <c r="AJ19" s="27">
        <f>'Model'!$AB$93</f>
        <v/>
      </c>
      <c r="AK19" s="27">
        <f>'Model'!$AC$93</f>
        <v/>
      </c>
      <c r="AL19" s="27">
        <f>'Model'!$AD$93</f>
        <v/>
      </c>
      <c r="AM19" s="27">
        <f>'Model'!$AE$93</f>
        <v/>
      </c>
      <c r="AN19" s="27">
        <f>'Model'!$AF$93</f>
        <v/>
      </c>
      <c r="AO19" s="27">
        <f>'Model'!$AG$93</f>
        <v/>
      </c>
      <c r="AP19" s="27">
        <f>'Model'!$AH$93</f>
        <v/>
      </c>
      <c r="AQ19" s="27">
        <f>'Model'!$AI$93</f>
        <v/>
      </c>
    </row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I93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hidden="1" width="4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 ht="6" customHeight="1"/>
    <row r="2">
      <c r="B2" s="1" t="inlineStr">
        <is>
          <t>Model</t>
        </is>
      </c>
    </row>
    <row r="3">
      <c r="B3" s="4" t="inlineStr">
        <is>
          <t>Link to Cover</t>
        </is>
      </c>
    </row>
    <row r="4">
      <c r="A4" s="7" t="n"/>
      <c r="B4" s="21" t="inlineStr">
        <is>
          <t>All figures in $ thousands, unless otherwise noted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8" t="n"/>
      <c r="C6" s="8" t="n"/>
      <c r="D6" s="24" t="inlineStr">
        <is>
          <t>Q1 '21</t>
        </is>
      </c>
      <c r="E6" s="24" t="inlineStr">
        <is>
          <t>Q2 '21</t>
        </is>
      </c>
      <c r="F6" s="24" t="inlineStr">
        <is>
          <t>Q3 '21</t>
        </is>
      </c>
      <c r="G6" s="24" t="inlineStr">
        <is>
          <t>Q4 '21</t>
        </is>
      </c>
      <c r="H6" s="24" t="inlineStr">
        <is>
          <t>Q1 '22</t>
        </is>
      </c>
      <c r="I6" s="24" t="inlineStr">
        <is>
          <t>Q2 '22</t>
        </is>
      </c>
      <c r="J6" s="24" t="inlineStr">
        <is>
          <t>Q3 '22</t>
        </is>
      </c>
      <c r="K6" s="24" t="inlineStr">
        <is>
          <t>Q4 '22</t>
        </is>
      </c>
      <c r="L6" s="24" t="inlineStr">
        <is>
          <t>Q1 '23</t>
        </is>
      </c>
      <c r="M6" s="24" t="inlineStr">
        <is>
          <t>Q2 '23</t>
        </is>
      </c>
      <c r="N6" s="24" t="inlineStr">
        <is>
          <t>Q3 '23</t>
        </is>
      </c>
      <c r="O6" s="24" t="inlineStr">
        <is>
          <t>Q4 '23</t>
        </is>
      </c>
      <c r="P6" s="24" t="inlineStr">
        <is>
          <t>Q1 '24</t>
        </is>
      </c>
      <c r="Q6" s="24" t="inlineStr">
        <is>
          <t>Q2 '24</t>
        </is>
      </c>
      <c r="R6" s="24" t="inlineStr">
        <is>
          <t>Q3 '24</t>
        </is>
      </c>
      <c r="S6" s="24" t="inlineStr">
        <is>
          <t>Q4 '24</t>
        </is>
      </c>
      <c r="T6" s="24" t="inlineStr">
        <is>
          <t>Q1 '25</t>
        </is>
      </c>
      <c r="U6" s="24" t="inlineStr">
        <is>
          <t>Q2 '25</t>
        </is>
      </c>
      <c r="V6" s="24" t="inlineStr">
        <is>
          <t>Q3 '25</t>
        </is>
      </c>
      <c r="W6" s="24" t="inlineStr">
        <is>
          <t>Q4 '25</t>
        </is>
      </c>
      <c r="X6" s="24" t="inlineStr">
        <is>
          <t>Q1 '26</t>
        </is>
      </c>
      <c r="Y6" s="24" t="inlineStr">
        <is>
          <t>Q2 '26</t>
        </is>
      </c>
      <c r="Z6" s="25" t="inlineStr">
        <is>
          <t>Q3 '26</t>
        </is>
      </c>
      <c r="AA6" s="25" t="inlineStr">
        <is>
          <t>Q4 '26</t>
        </is>
      </c>
      <c r="AB6" s="25" t="inlineStr">
        <is>
          <t>Q1 '27</t>
        </is>
      </c>
      <c r="AC6" s="25" t="inlineStr">
        <is>
          <t>Q2 '27</t>
        </is>
      </c>
      <c r="AD6" s="25" t="inlineStr">
        <is>
          <t>Q3 '27</t>
        </is>
      </c>
      <c r="AE6" s="25" t="inlineStr">
        <is>
          <t>Q4 '27</t>
        </is>
      </c>
      <c r="AF6" s="25" t="inlineStr">
        <is>
          <t>Q1 '28</t>
        </is>
      </c>
      <c r="AG6" s="25" t="inlineStr">
        <is>
          <t>Q2 '28</t>
        </is>
      </c>
      <c r="AH6" s="25" t="inlineStr">
        <is>
          <t>Q3 '28</t>
        </is>
      </c>
      <c r="AI6" s="25" t="inlineStr">
        <is>
          <t>Q4 '28</t>
        </is>
      </c>
    </row>
    <row r="7" ht="20" customHeight="1">
      <c r="B7" s="3" t="inlineStr">
        <is>
          <t>Bookings &amp; Pipeline</t>
        </is>
      </c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</row>
    <row r="8">
      <c r="B8" s="26" t="inlineStr">
        <is>
          <t>Pipeline Active Projects (units)</t>
        </is>
      </c>
      <c r="Z8" s="37">
        <f>'Sales Pipeline'!$AG$9</f>
        <v/>
      </c>
      <c r="AA8" s="37">
        <f>'Sales Pipeline'!$AH$9</f>
        <v/>
      </c>
      <c r="AB8" s="37">
        <f>'Sales Pipeline'!$AI$9</f>
        <v/>
      </c>
      <c r="AC8" s="37">
        <f>'Sales Pipeline'!$AJ$9</f>
        <v/>
      </c>
      <c r="AD8" s="37">
        <f>'Sales Pipeline'!$AK$9</f>
        <v/>
      </c>
      <c r="AE8" s="37">
        <f>'Sales Pipeline'!$AL$9</f>
        <v/>
      </c>
      <c r="AF8" s="37">
        <f>'Sales Pipeline'!$AM$9</f>
        <v/>
      </c>
      <c r="AG8" s="37">
        <f>'Sales Pipeline'!$AN$9</f>
        <v/>
      </c>
      <c r="AH8" s="37">
        <f>'Sales Pipeline'!$AO$9</f>
        <v/>
      </c>
      <c r="AI8" s="37">
        <f>'Sales Pipeline'!$AP$9</f>
        <v/>
      </c>
    </row>
    <row r="9">
      <c r="B9" s="26" t="inlineStr">
        <is>
          <t>Pipeline Expected Bookings</t>
        </is>
      </c>
      <c r="Z9" s="27">
        <f>'Sales Pipeline'!$BM$8</f>
        <v/>
      </c>
      <c r="AA9" s="27">
        <f>'Sales Pipeline'!$BN$8</f>
        <v/>
      </c>
      <c r="AB9" s="27">
        <f>'Sales Pipeline'!$BO$8</f>
        <v/>
      </c>
      <c r="AC9" s="27">
        <f>'Sales Pipeline'!$BP$8</f>
        <v/>
      </c>
      <c r="AD9" s="27">
        <f>'Sales Pipeline'!$BQ$8</f>
        <v/>
      </c>
      <c r="AE9" s="27">
        <f>'Sales Pipeline'!$BR$8</f>
        <v/>
      </c>
      <c r="AF9" s="27">
        <f>'Sales Pipeline'!$BS$8</f>
        <v/>
      </c>
      <c r="AG9" s="27">
        <f>'Sales Pipeline'!$BT$8</f>
        <v/>
      </c>
      <c r="AH9" s="27">
        <f>'Sales Pipeline'!$BU$8</f>
        <v/>
      </c>
      <c r="AI9" s="27">
        <f>'Sales Pipeline'!$BV$8</f>
        <v/>
      </c>
    </row>
    <row r="10">
      <c r="B10" s="26" t="inlineStr">
        <is>
          <t>Pipeline Expected Revenue</t>
        </is>
      </c>
      <c r="Z10" s="27">
        <f>'Sales Pipeline'!$AG$7</f>
        <v/>
      </c>
      <c r="AA10" s="27">
        <f>'Sales Pipeline'!$AH$7</f>
        <v/>
      </c>
      <c r="AB10" s="27">
        <f>'Sales Pipeline'!$AI$7</f>
        <v/>
      </c>
      <c r="AC10" s="27">
        <f>'Sales Pipeline'!$AJ$7</f>
        <v/>
      </c>
      <c r="AD10" s="27">
        <f>'Sales Pipeline'!$AK$7</f>
        <v/>
      </c>
      <c r="AE10" s="27">
        <f>'Sales Pipeline'!$AL$7</f>
        <v/>
      </c>
      <c r="AF10" s="27">
        <f>'Sales Pipeline'!$AM$7</f>
        <v/>
      </c>
      <c r="AG10" s="27">
        <f>'Sales Pipeline'!$AN$7</f>
        <v/>
      </c>
      <c r="AH10" s="27">
        <f>'Sales Pipeline'!$AO$7</f>
        <v/>
      </c>
      <c r="AI10" s="27">
        <f>'Sales Pipeline'!$AP$7</f>
        <v/>
      </c>
    </row>
    <row r="11">
      <c r="B11" s="26" t="inlineStr">
        <is>
          <t>T&amp;M ACV</t>
        </is>
      </c>
      <c r="C11" t="inlineStr">
        <is>
          <t>Average contract value of new T&amp;M projects; starts at tm_acv in 2026-Q3 and grows tm_acv_growth per quarter.</t>
        </is>
      </c>
      <c r="Z11" s="27">
        <f>IFERROR('Inputs'!$C$12 / (1 + 'Inputs'!$D$14) * (1 + 'Inputs'!$D$14), 0)</f>
        <v/>
      </c>
      <c r="AA11" s="27">
        <f>$Z$11 * (1 + 'Inputs'!$E$14)</f>
        <v/>
      </c>
      <c r="AB11" s="27">
        <f>$AA$11 * (1 + 'Inputs'!$F$14)</f>
        <v/>
      </c>
      <c r="AC11" s="27">
        <f>$AB$11 * (1 + 'Inputs'!$G$14)</f>
        <v/>
      </c>
      <c r="AD11" s="27">
        <f>$AC$11 * (1 + 'Inputs'!$H$14)</f>
        <v/>
      </c>
      <c r="AE11" s="27">
        <f>$AD$11 * (1 + 'Inputs'!$I$14)</f>
        <v/>
      </c>
      <c r="AF11" s="27">
        <f>$AE$11 * (1 + 'Inputs'!$J$14)</f>
        <v/>
      </c>
      <c r="AG11" s="27">
        <f>$AF$11 * (1 + 'Inputs'!$K$14)</f>
        <v/>
      </c>
      <c r="AH11" s="27">
        <f>$AG$11 * (1 + 'Inputs'!$L$14)</f>
        <v/>
      </c>
      <c r="AI11" s="27">
        <f>$AH$11 * (1 + 'Inputs'!$M$14)</f>
        <v/>
      </c>
    </row>
    <row r="12">
      <c r="B12" s="26" t="inlineStr">
        <is>
          <t>New T&amp;M Bookings (unidentified)</t>
        </is>
      </c>
      <c r="Z12" s="27">
        <f>'Inputs'!$D$10 * $Z$11</f>
        <v/>
      </c>
      <c r="AA12" s="27">
        <f>'Inputs'!$E$10 * $AA$11</f>
        <v/>
      </c>
      <c r="AB12" s="27">
        <f>'Inputs'!$F$10 * $AB$11</f>
        <v/>
      </c>
      <c r="AC12" s="27">
        <f>'Inputs'!$G$10 * $AC$11</f>
        <v/>
      </c>
      <c r="AD12" s="27">
        <f>'Inputs'!$H$10 * $AD$11</f>
        <v/>
      </c>
      <c r="AE12" s="27">
        <f>'Inputs'!$I$10 * $AE$11</f>
        <v/>
      </c>
      <c r="AF12" s="27">
        <f>'Inputs'!$J$10 * $AF$11</f>
        <v/>
      </c>
      <c r="AG12" s="27">
        <f>'Inputs'!$K$10 * $AG$11</f>
        <v/>
      </c>
      <c r="AH12" s="27">
        <f>'Inputs'!$L$10 * $AH$11</f>
        <v/>
      </c>
      <c r="AI12" s="27">
        <f>'Inputs'!$M$10 * $AI$11</f>
        <v/>
      </c>
    </row>
    <row r="13">
      <c r="B13" s="26" t="inlineStr">
        <is>
          <t>Fixed-Price ACV</t>
        </is>
      </c>
      <c r="Z13" s="27">
        <f>IFERROR('Inputs'!$C$17 / (1 + 'Inputs'!$D$19) * (1 + 'Inputs'!$D$19), 0)</f>
        <v/>
      </c>
      <c r="AA13" s="27">
        <f>$Z$13 * (1 + 'Inputs'!$E$19)</f>
        <v/>
      </c>
      <c r="AB13" s="27">
        <f>$AA$13 * (1 + 'Inputs'!$F$19)</f>
        <v/>
      </c>
      <c r="AC13" s="27">
        <f>$AB$13 * (1 + 'Inputs'!$G$19)</f>
        <v/>
      </c>
      <c r="AD13" s="27">
        <f>$AC$13 * (1 + 'Inputs'!$H$19)</f>
        <v/>
      </c>
      <c r="AE13" s="27">
        <f>$AD$13 * (1 + 'Inputs'!$I$19)</f>
        <v/>
      </c>
      <c r="AF13" s="27">
        <f>$AE$13 * (1 + 'Inputs'!$J$19)</f>
        <v/>
      </c>
      <c r="AG13" s="27">
        <f>$AF$13 * (1 + 'Inputs'!$K$19)</f>
        <v/>
      </c>
      <c r="AH13" s="27">
        <f>$AG$13 * (1 + 'Inputs'!$L$19)</f>
        <v/>
      </c>
      <c r="AI13" s="27">
        <f>$AH$13 * (1 + 'Inputs'!$M$19)</f>
        <v/>
      </c>
    </row>
    <row r="14">
      <c r="B14" s="26" t="inlineStr">
        <is>
          <t>New Fixed-Price Bookings (unidentified)</t>
        </is>
      </c>
      <c r="Z14" s="27">
        <f>'Inputs'!$D$15 * $Z$13</f>
        <v/>
      </c>
      <c r="AA14" s="27">
        <f>'Inputs'!$E$15 * $AA$13</f>
        <v/>
      </c>
      <c r="AB14" s="27">
        <f>'Inputs'!$F$15 * $AB$13</f>
        <v/>
      </c>
      <c r="AC14" s="27">
        <f>'Inputs'!$G$15 * $AC$13</f>
        <v/>
      </c>
      <c r="AD14" s="27">
        <f>'Inputs'!$H$15 * $AD$13</f>
        <v/>
      </c>
      <c r="AE14" s="27">
        <f>'Inputs'!$I$15 * $AE$13</f>
        <v/>
      </c>
      <c r="AF14" s="27">
        <f>'Inputs'!$J$15 * $AF$13</f>
        <v/>
      </c>
      <c r="AG14" s="27">
        <f>'Inputs'!$K$15 * $AG$13</f>
        <v/>
      </c>
      <c r="AH14" s="27">
        <f>'Inputs'!$L$15 * $AH$13</f>
        <v/>
      </c>
      <c r="AI14" s="27">
        <f>'Inputs'!$M$15 * $AI$13</f>
        <v/>
      </c>
    </row>
    <row r="15">
      <c r="B15" s="38" t="inlineStr">
        <is>
          <t>Total Bookings</t>
        </is>
      </c>
      <c r="C15" s="28" t="inlineStr">
        <is>
          <t>Named-pipeline expected bookings (signed in the quarter) plus unidentified new bookings.</t>
        </is>
      </c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9">
        <f>$Z$9 + $Z$12 + $Z$14</f>
        <v/>
      </c>
      <c r="AA15" s="29">
        <f>$AA$9 + $AA$12 + $AA$14</f>
        <v/>
      </c>
      <c r="AB15" s="29">
        <f>$AB$9 + $AB$12 + $AB$14</f>
        <v/>
      </c>
      <c r="AC15" s="29">
        <f>$AC$9 + $AC$12 + $AC$14</f>
        <v/>
      </c>
      <c r="AD15" s="29">
        <f>$AD$9 + $AD$12 + $AD$14</f>
        <v/>
      </c>
      <c r="AE15" s="29">
        <f>$AE$9 + $AE$12 + $AE$14</f>
        <v/>
      </c>
      <c r="AF15" s="29">
        <f>$AF$9 + $AF$12 + $AF$14</f>
        <v/>
      </c>
      <c r="AG15" s="29">
        <f>$AG$9 + $AG$12 + $AG$14</f>
        <v/>
      </c>
      <c r="AH15" s="29">
        <f>$AH$9 + $AH$12 + $AH$14</f>
        <v/>
      </c>
      <c r="AI15" s="29">
        <f>$AI$9 + $AI$12 + $AI$14</f>
        <v/>
      </c>
    </row>
    <row r="16" ht="6" customHeight="1">
      <c r="B16" s="30" t="n"/>
      <c r="C16" s="30" t="n"/>
      <c r="D16" s="30" t="n"/>
      <c r="E16" s="30" t="n"/>
      <c r="F16" s="30" t="n"/>
      <c r="G16" s="30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  <c r="AB16" s="30" t="n"/>
      <c r="AC16" s="30" t="n"/>
      <c r="AD16" s="30" t="n"/>
      <c r="AE16" s="30" t="n"/>
      <c r="AF16" s="30" t="n"/>
      <c r="AG16" s="30" t="n"/>
      <c r="AH16" s="30" t="n"/>
      <c r="AI16" s="30" t="n"/>
    </row>
    <row r="17" ht="20" customHeight="1">
      <c r="B17" s="3" t="inlineStr">
        <is>
          <t>Income Statement</t>
        </is>
      </c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</row>
    <row r="18">
      <c r="B18" s="26" t="inlineStr">
        <is>
          <t>T&amp;M Revenue from Pipeline</t>
        </is>
      </c>
      <c r="Z18" s="27">
        <f>$Z$10 * 'Inputs'!$C$23</f>
        <v/>
      </c>
      <c r="AA18" s="27">
        <f>$AA$10 * 'Inputs'!$C$23</f>
        <v/>
      </c>
      <c r="AB18" s="27">
        <f>$AB$10 * 'Inputs'!$C$23</f>
        <v/>
      </c>
      <c r="AC18" s="27">
        <f>$AC$10 * 'Inputs'!$C$23</f>
        <v/>
      </c>
      <c r="AD18" s="27">
        <f>$AD$10 * 'Inputs'!$C$23</f>
        <v/>
      </c>
      <c r="AE18" s="27">
        <f>$AE$10 * 'Inputs'!$C$23</f>
        <v/>
      </c>
      <c r="AF18" s="27">
        <f>$AF$10 * 'Inputs'!$C$23</f>
        <v/>
      </c>
      <c r="AG18" s="27">
        <f>$AG$10 * 'Inputs'!$C$23</f>
        <v/>
      </c>
      <c r="AH18" s="27">
        <f>$AH$10 * 'Inputs'!$C$23</f>
        <v/>
      </c>
      <c r="AI18" s="27">
        <f>$AI$10 * 'Inputs'!$C$23</f>
        <v/>
      </c>
    </row>
    <row r="19">
      <c r="B19" s="26" t="inlineStr">
        <is>
          <t>T&amp;M Revenue from New Bookings</t>
        </is>
      </c>
      <c r="Z19" s="27">
        <f>'Inputs'!$C$21 * $Z$12 + 'Inputs'!$C$22 * 0</f>
        <v/>
      </c>
      <c r="AA19" s="27">
        <f>'Inputs'!$C$21 * $AA$12 + 'Inputs'!$C$22 * $Z$12</f>
        <v/>
      </c>
      <c r="AB19" s="27">
        <f>'Inputs'!$C$21 * $AB$12 + 'Inputs'!$C$22 * $AA$12</f>
        <v/>
      </c>
      <c r="AC19" s="27">
        <f>'Inputs'!$C$21 * $AC$12 + 'Inputs'!$C$22 * $AB$12</f>
        <v/>
      </c>
      <c r="AD19" s="27">
        <f>'Inputs'!$C$21 * $AD$12 + 'Inputs'!$C$22 * $AC$12</f>
        <v/>
      </c>
      <c r="AE19" s="27">
        <f>'Inputs'!$C$21 * $AE$12 + 'Inputs'!$C$22 * $AD$12</f>
        <v/>
      </c>
      <c r="AF19" s="27">
        <f>'Inputs'!$C$21 * $AF$12 + 'Inputs'!$C$22 * $AE$12</f>
        <v/>
      </c>
      <c r="AG19" s="27">
        <f>'Inputs'!$C$21 * $AG$12 + 'Inputs'!$C$22 * $AF$12</f>
        <v/>
      </c>
      <c r="AH19" s="27">
        <f>'Inputs'!$C$21 * $AH$12 + 'Inputs'!$C$22 * $AG$12</f>
        <v/>
      </c>
      <c r="AI19" s="27">
        <f>'Inputs'!$C$21 * $AI$12 + 'Inputs'!$C$22 * $AH$12</f>
        <v/>
      </c>
    </row>
    <row r="20">
      <c r="B20" s="26" t="inlineStr">
        <is>
          <t>T&amp;M Revenue - Labour</t>
        </is>
      </c>
      <c r="D20" s="39" t="n">
        <v>2730912.69</v>
      </c>
      <c r="E20" s="39" t="n">
        <v>3133974.76</v>
      </c>
      <c r="F20" s="39" t="n">
        <v>2914248.99</v>
      </c>
      <c r="G20" s="39" t="n">
        <v>3145580.15</v>
      </c>
      <c r="H20" s="39" t="n">
        <v>2673612.31</v>
      </c>
      <c r="I20" s="39" t="n">
        <v>3285028.29</v>
      </c>
      <c r="J20" s="39" t="n">
        <v>2811042.15</v>
      </c>
      <c r="K20" s="39" t="n">
        <v>3077754.77</v>
      </c>
      <c r="L20" s="39" t="n">
        <v>2886079.55</v>
      </c>
      <c r="M20" s="39" t="n">
        <v>3277470.79</v>
      </c>
      <c r="N20" s="39" t="n">
        <v>3120033.88</v>
      </c>
      <c r="O20" s="39" t="n">
        <v>3114759.55</v>
      </c>
      <c r="P20" s="39" t="n">
        <v>2751906.72</v>
      </c>
      <c r="Q20" s="39" t="n">
        <v>3256308</v>
      </c>
      <c r="R20" s="39" t="n">
        <v>3216461.46</v>
      </c>
      <c r="S20" s="39" t="n">
        <v>3487557.91</v>
      </c>
      <c r="T20" s="39" t="n">
        <v>3346167.01</v>
      </c>
      <c r="U20" s="39" t="n">
        <v>3599857.08</v>
      </c>
      <c r="V20" s="39" t="n">
        <v>3184012.17</v>
      </c>
      <c r="W20" s="39" t="n">
        <v>3616865.9</v>
      </c>
      <c r="X20" s="39" t="n">
        <v>3147374.78</v>
      </c>
      <c r="Y20" s="39" t="n">
        <v>3868283.66</v>
      </c>
      <c r="Z20" s="27">
        <f>$Z$22 - $Z$21</f>
        <v/>
      </c>
      <c r="AA20" s="27">
        <f>$AA$22 - $AA$21</f>
        <v/>
      </c>
      <c r="AB20" s="27">
        <f>$AB$22 - $AB$21</f>
        <v/>
      </c>
      <c r="AC20" s="27">
        <f>$AC$22 - $AC$21</f>
        <v/>
      </c>
      <c r="AD20" s="27">
        <f>$AD$22 - $AD$21</f>
        <v/>
      </c>
      <c r="AE20" s="27">
        <f>$AE$22 - $AE$21</f>
        <v/>
      </c>
      <c r="AF20" s="27">
        <f>$AF$22 - $AF$21</f>
        <v/>
      </c>
      <c r="AG20" s="27">
        <f>$AG$22 - $AG$21</f>
        <v/>
      </c>
      <c r="AH20" s="27">
        <f>$AH$22 - $AH$21</f>
        <v/>
      </c>
      <c r="AI20" s="27">
        <f>$AI$22 - $AI$21</f>
        <v/>
      </c>
    </row>
    <row r="21">
      <c r="B21" s="26" t="inlineStr">
        <is>
          <t>T&amp;M Revenue - Material</t>
        </is>
      </c>
      <c r="D21" s="39" t="n">
        <v>688935.9300000001</v>
      </c>
      <c r="E21" s="39" t="n">
        <v>647516.97</v>
      </c>
      <c r="F21" s="39" t="n">
        <v>717067.0600000001</v>
      </c>
      <c r="G21" s="39" t="n">
        <v>683028.02</v>
      </c>
      <c r="H21" s="39" t="n">
        <v>586730.01</v>
      </c>
      <c r="I21" s="39" t="n">
        <v>735241.79</v>
      </c>
      <c r="J21" s="39" t="n">
        <v>694275.66</v>
      </c>
      <c r="K21" s="39" t="n">
        <v>713464.42</v>
      </c>
      <c r="L21" s="39" t="n">
        <v>625071.92</v>
      </c>
      <c r="M21" s="39" t="n">
        <v>809890.53</v>
      </c>
      <c r="N21" s="39" t="n">
        <v>799997.33</v>
      </c>
      <c r="O21" s="39" t="n">
        <v>753795.04</v>
      </c>
      <c r="P21" s="39" t="n">
        <v>643675.22</v>
      </c>
      <c r="Q21" s="39" t="n">
        <v>757802.88</v>
      </c>
      <c r="R21" s="39" t="n">
        <v>699739.3199999999</v>
      </c>
      <c r="S21" s="39" t="n">
        <v>755037.39</v>
      </c>
      <c r="T21" s="39" t="n">
        <v>878553.66</v>
      </c>
      <c r="U21" s="39" t="n">
        <v>910171.66</v>
      </c>
      <c r="V21" s="39" t="n">
        <v>681448.79</v>
      </c>
      <c r="W21" s="39" t="n">
        <v>894857.91</v>
      </c>
      <c r="X21" s="39" t="n">
        <v>704182.1899999999</v>
      </c>
      <c r="Y21" s="39" t="n">
        <v>903670.76</v>
      </c>
      <c r="Z21" s="27">
        <f>$Z$22 * 'Inputs'!$C$24</f>
        <v/>
      </c>
      <c r="AA21" s="27">
        <f>$AA$22 * 'Inputs'!$C$24</f>
        <v/>
      </c>
      <c r="AB21" s="27">
        <f>$AB$22 * 'Inputs'!$C$24</f>
        <v/>
      </c>
      <c r="AC21" s="27">
        <f>$AC$22 * 'Inputs'!$C$24</f>
        <v/>
      </c>
      <c r="AD21" s="27">
        <f>$AD$22 * 'Inputs'!$C$24</f>
        <v/>
      </c>
      <c r="AE21" s="27">
        <f>$AE$22 * 'Inputs'!$C$24</f>
        <v/>
      </c>
      <c r="AF21" s="27">
        <f>$AF$22 * 'Inputs'!$C$24</f>
        <v/>
      </c>
      <c r="AG21" s="27">
        <f>$AG$22 * 'Inputs'!$C$24</f>
        <v/>
      </c>
      <c r="AH21" s="27">
        <f>$AH$22 * 'Inputs'!$C$24</f>
        <v/>
      </c>
      <c r="AI21" s="27">
        <f>$AI$22 * 'Inputs'!$C$24</f>
        <v/>
      </c>
    </row>
    <row r="22">
      <c r="B22" s="38" t="inlineStr">
        <is>
          <t>Time &amp; Materials Revenue</t>
        </is>
      </c>
      <c r="C22" s="28" t="n"/>
      <c r="D22" s="40" t="n">
        <v>3419848.62</v>
      </c>
      <c r="E22" s="40" t="n">
        <v>3781491.73</v>
      </c>
      <c r="F22" s="40" t="n">
        <v>3631316.05</v>
      </c>
      <c r="G22" s="40" t="n">
        <v>3828608.17</v>
      </c>
      <c r="H22" s="40" t="n">
        <v>3260342.32</v>
      </c>
      <c r="I22" s="40" t="n">
        <v>4020270.08</v>
      </c>
      <c r="J22" s="40" t="n">
        <v>3505317.81</v>
      </c>
      <c r="K22" s="40" t="n">
        <v>3791219.19</v>
      </c>
      <c r="L22" s="40" t="n">
        <v>3511151.47</v>
      </c>
      <c r="M22" s="40" t="n">
        <v>4087361.32</v>
      </c>
      <c r="N22" s="40" t="n">
        <v>3920031.21</v>
      </c>
      <c r="O22" s="40" t="n">
        <v>3868554.59</v>
      </c>
      <c r="P22" s="40" t="n">
        <v>3395581.94</v>
      </c>
      <c r="Q22" s="40" t="n">
        <v>4014110.88</v>
      </c>
      <c r="R22" s="40" t="n">
        <v>3916200.78</v>
      </c>
      <c r="S22" s="40" t="n">
        <v>4242595.3</v>
      </c>
      <c r="T22" s="40" t="n">
        <v>4224720.67</v>
      </c>
      <c r="U22" s="40" t="n">
        <v>4510028.74</v>
      </c>
      <c r="V22" s="40" t="n">
        <v>3865460.96</v>
      </c>
      <c r="W22" s="40" t="n">
        <v>4511723.81</v>
      </c>
      <c r="X22" s="40" t="n">
        <v>3851556.97</v>
      </c>
      <c r="Y22" s="40" t="n">
        <v>4771954.42</v>
      </c>
      <c r="Z22" s="29">
        <f>$Z$18 + $Z$19</f>
        <v/>
      </c>
      <c r="AA22" s="29">
        <f>$AA$18 + $AA$19</f>
        <v/>
      </c>
      <c r="AB22" s="29">
        <f>$AB$18 + $AB$19</f>
        <v/>
      </c>
      <c r="AC22" s="29">
        <f>$AC$18 + $AC$19</f>
        <v/>
      </c>
      <c r="AD22" s="29">
        <f>$AD$18 + $AD$19</f>
        <v/>
      </c>
      <c r="AE22" s="29">
        <f>$AE$18 + $AE$19</f>
        <v/>
      </c>
      <c r="AF22" s="29">
        <f>$AF$18 + $AF$19</f>
        <v/>
      </c>
      <c r="AG22" s="29">
        <f>$AG$18 + $AG$19</f>
        <v/>
      </c>
      <c r="AH22" s="29">
        <f>$AH$18 + $AH$19</f>
        <v/>
      </c>
      <c r="AI22" s="29">
        <f>$AI$18 + $AI$19</f>
        <v/>
      </c>
    </row>
    <row r="23" ht="6" customHeight="1"/>
    <row r="24">
      <c r="B24" s="41" t="inlineStr">
        <is>
          <t>T&amp;M Share of Revenue</t>
        </is>
      </c>
      <c r="C24" s="41" t="n"/>
      <c r="D24" s="32">
        <f>IFERROR($D$22 / $D$31, 0)</f>
        <v/>
      </c>
      <c r="E24" s="32">
        <f>IFERROR($E$22 / $E$31, 0)</f>
        <v/>
      </c>
      <c r="F24" s="32">
        <f>IFERROR($F$22 / $F$31, 0)</f>
        <v/>
      </c>
      <c r="G24" s="32">
        <f>IFERROR($G$22 / $G$31, 0)</f>
        <v/>
      </c>
      <c r="H24" s="32">
        <f>IFERROR($H$22 / $H$31, 0)</f>
        <v/>
      </c>
      <c r="I24" s="32">
        <f>IFERROR($I$22 / $I$31, 0)</f>
        <v/>
      </c>
      <c r="J24" s="32">
        <f>IFERROR($J$22 / $J$31, 0)</f>
        <v/>
      </c>
      <c r="K24" s="32">
        <f>IFERROR($K$22 / $K$31, 0)</f>
        <v/>
      </c>
      <c r="L24" s="32">
        <f>IFERROR($L$22 / $L$31, 0)</f>
        <v/>
      </c>
      <c r="M24" s="32">
        <f>IFERROR($M$22 / $M$31, 0)</f>
        <v/>
      </c>
      <c r="N24" s="32">
        <f>IFERROR($N$22 / $N$31, 0)</f>
        <v/>
      </c>
      <c r="O24" s="32">
        <f>IFERROR($O$22 / $O$31, 0)</f>
        <v/>
      </c>
      <c r="P24" s="32">
        <f>IFERROR($P$22 / $P$31, 0)</f>
        <v/>
      </c>
      <c r="Q24" s="32">
        <f>IFERROR($Q$22 / $Q$31, 0)</f>
        <v/>
      </c>
      <c r="R24" s="32">
        <f>IFERROR($R$22 / $R$31, 0)</f>
        <v/>
      </c>
      <c r="S24" s="32">
        <f>IFERROR($S$22 / $S$31, 0)</f>
        <v/>
      </c>
      <c r="T24" s="32">
        <f>IFERROR($T$22 / $T$31, 0)</f>
        <v/>
      </c>
      <c r="U24" s="32">
        <f>IFERROR($U$22 / $U$31, 0)</f>
        <v/>
      </c>
      <c r="V24" s="32">
        <f>IFERROR($V$22 / $V$31, 0)</f>
        <v/>
      </c>
      <c r="W24" s="32">
        <f>IFERROR($W$22 / $W$31, 0)</f>
        <v/>
      </c>
      <c r="X24" s="32">
        <f>IFERROR($X$22 / $X$31, 0)</f>
        <v/>
      </c>
      <c r="Y24" s="32">
        <f>IFERROR($Y$22 / $Y$31, 0)</f>
        <v/>
      </c>
      <c r="Z24" s="32">
        <f>IFERROR($Z$22 / $Z$31, 0)</f>
        <v/>
      </c>
      <c r="AA24" s="32">
        <f>IFERROR($AA$22 / $AA$31, 0)</f>
        <v/>
      </c>
      <c r="AB24" s="32">
        <f>IFERROR($AB$22 / $AB$31, 0)</f>
        <v/>
      </c>
      <c r="AC24" s="32">
        <f>IFERROR($AC$22 / $AC$31, 0)</f>
        <v/>
      </c>
      <c r="AD24" s="32">
        <f>IFERROR($AD$22 / $AD$31, 0)</f>
        <v/>
      </c>
      <c r="AE24" s="32">
        <f>IFERROR($AE$22 / $AE$31, 0)</f>
        <v/>
      </c>
      <c r="AF24" s="32">
        <f>IFERROR($AF$22 / $AF$31, 0)</f>
        <v/>
      </c>
      <c r="AG24" s="32">
        <f>IFERROR($AG$22 / $AG$31, 0)</f>
        <v/>
      </c>
      <c r="AH24" s="32">
        <f>IFERROR($AH$22 / $AH$31, 0)</f>
        <v/>
      </c>
      <c r="AI24" s="32">
        <f>IFERROR($AI$22 / $AI$31, 0)</f>
        <v/>
      </c>
    </row>
    <row r="25">
      <c r="B25" s="26" t="inlineStr">
        <is>
          <t>Fixed-Price Revenue from Pipeline</t>
        </is>
      </c>
      <c r="Z25" s="27">
        <f>$Z$10 * (1 - 'Inputs'!$C$23)</f>
        <v/>
      </c>
      <c r="AA25" s="27">
        <f>$AA$10 * (1 - 'Inputs'!$C$23)</f>
        <v/>
      </c>
      <c r="AB25" s="27">
        <f>$AB$10 * (1 - 'Inputs'!$C$23)</f>
        <v/>
      </c>
      <c r="AC25" s="27">
        <f>$AC$10 * (1 - 'Inputs'!$C$23)</f>
        <v/>
      </c>
      <c r="AD25" s="27">
        <f>$AD$10 * (1 - 'Inputs'!$C$23)</f>
        <v/>
      </c>
      <c r="AE25" s="27">
        <f>$AE$10 * (1 - 'Inputs'!$C$23)</f>
        <v/>
      </c>
      <c r="AF25" s="27">
        <f>$AF$10 * (1 - 'Inputs'!$C$23)</f>
        <v/>
      </c>
      <c r="AG25" s="27">
        <f>$AG$10 * (1 - 'Inputs'!$C$23)</f>
        <v/>
      </c>
      <c r="AH25" s="27">
        <f>$AH$10 * (1 - 'Inputs'!$C$23)</f>
        <v/>
      </c>
      <c r="AI25" s="27">
        <f>$AI$10 * (1 - 'Inputs'!$C$23)</f>
        <v/>
      </c>
    </row>
    <row r="26">
      <c r="B26" s="26" t="inlineStr">
        <is>
          <t>Fixed-Price Revenue from New Bookings</t>
        </is>
      </c>
      <c r="Z26" s="27">
        <f>'Inputs'!$C$21 * $Z$14 + 'Inputs'!$C$22 * 0</f>
        <v/>
      </c>
      <c r="AA26" s="27">
        <f>'Inputs'!$C$21 * $AA$14 + 'Inputs'!$C$22 * $Z$14</f>
        <v/>
      </c>
      <c r="AB26" s="27">
        <f>'Inputs'!$C$21 * $AB$14 + 'Inputs'!$C$22 * $AA$14</f>
        <v/>
      </c>
      <c r="AC26" s="27">
        <f>'Inputs'!$C$21 * $AC$14 + 'Inputs'!$C$22 * $AB$14</f>
        <v/>
      </c>
      <c r="AD26" s="27">
        <f>'Inputs'!$C$21 * $AD$14 + 'Inputs'!$C$22 * $AC$14</f>
        <v/>
      </c>
      <c r="AE26" s="27">
        <f>'Inputs'!$C$21 * $AE$14 + 'Inputs'!$C$22 * $AD$14</f>
        <v/>
      </c>
      <c r="AF26" s="27">
        <f>'Inputs'!$C$21 * $AF$14 + 'Inputs'!$C$22 * $AE$14</f>
        <v/>
      </c>
      <c r="AG26" s="27">
        <f>'Inputs'!$C$21 * $AG$14 + 'Inputs'!$C$22 * $AF$14</f>
        <v/>
      </c>
      <c r="AH26" s="27">
        <f>'Inputs'!$C$21 * $AH$14 + 'Inputs'!$C$22 * $AG$14</f>
        <v/>
      </c>
      <c r="AI26" s="27">
        <f>'Inputs'!$C$21 * $AI$14 + 'Inputs'!$C$22 * $AH$14</f>
        <v/>
      </c>
    </row>
    <row r="27">
      <c r="B27" s="38" t="inlineStr">
        <is>
          <t>Fixed-Price Revenue</t>
        </is>
      </c>
      <c r="C27" s="28" t="inlineStr">
        <is>
          <t>Firm fixed-price contracts (history: account 30015). Series Production work is reported separately as series_revenue.</t>
        </is>
      </c>
      <c r="D27" s="40" t="n">
        <v>750856.4</v>
      </c>
      <c r="E27" s="40" t="n">
        <v>718111.46</v>
      </c>
      <c r="F27" s="40" t="n">
        <v>740505.13</v>
      </c>
      <c r="G27" s="40" t="n">
        <v>681341.58</v>
      </c>
      <c r="H27" s="40" t="n">
        <v>684470.26</v>
      </c>
      <c r="I27" s="40" t="n">
        <v>835303.0600000001</v>
      </c>
      <c r="J27" s="40" t="n">
        <v>873587.62</v>
      </c>
      <c r="K27" s="40" t="n">
        <v>701826.41</v>
      </c>
      <c r="L27" s="40" t="n">
        <v>734998.8</v>
      </c>
      <c r="M27" s="40" t="n">
        <v>841683.4399999999</v>
      </c>
      <c r="N27" s="40" t="n">
        <v>946089.09</v>
      </c>
      <c r="O27" s="40" t="n">
        <v>989185.63</v>
      </c>
      <c r="P27" s="40" t="n">
        <v>703620.79</v>
      </c>
      <c r="Q27" s="40" t="n">
        <v>1132087.77</v>
      </c>
      <c r="R27" s="40" t="n">
        <v>989623.85</v>
      </c>
      <c r="S27" s="40" t="n">
        <v>1011958.64</v>
      </c>
      <c r="T27" s="40" t="n">
        <v>987178.54</v>
      </c>
      <c r="U27" s="40" t="n">
        <v>952297.63</v>
      </c>
      <c r="V27" s="40" t="n">
        <v>982951.27</v>
      </c>
      <c r="W27" s="40" t="n">
        <v>936030.91</v>
      </c>
      <c r="X27" s="40" t="n">
        <v>898027.1899999999</v>
      </c>
      <c r="Y27" s="40" t="n">
        <v>1014625.8</v>
      </c>
      <c r="Z27" s="29">
        <f>$Z$25 + $Z$26</f>
        <v/>
      </c>
      <c r="AA27" s="29">
        <f>$AA$25 + $AA$26</f>
        <v/>
      </c>
      <c r="AB27" s="29">
        <f>$AB$25 + $AB$26</f>
        <v/>
      </c>
      <c r="AC27" s="29">
        <f>$AC$25 + $AC$26</f>
        <v/>
      </c>
      <c r="AD27" s="29">
        <f>$AD$25 + $AD$26</f>
        <v/>
      </c>
      <c r="AE27" s="29">
        <f>$AE$25 + $AE$26</f>
        <v/>
      </c>
      <c r="AF27" s="29">
        <f>$AF$25 + $AF$26</f>
        <v/>
      </c>
      <c r="AG27" s="29">
        <f>$AG$25 + $AG$26</f>
        <v/>
      </c>
      <c r="AH27" s="29">
        <f>$AH$25 + $AH$26</f>
        <v/>
      </c>
      <c r="AI27" s="29">
        <f>$AI$25 + $AI$26</f>
        <v/>
      </c>
    </row>
    <row r="28" ht="6" customHeight="1"/>
    <row r="29">
      <c r="B29" s="38" t="inlineStr">
        <is>
          <t>Series Production Revenue</t>
        </is>
      </c>
      <c r="C29" s="28" t="inlineStr">
        <is>
          <t>Third revenue segment (history: account 30150). Held at its trailing run-rate because the segment has no pipeline coverage and no customer-supplied driver.</t>
        </is>
      </c>
      <c r="D29" s="40" t="n">
        <v>0</v>
      </c>
      <c r="E29" s="40" t="n">
        <v>0</v>
      </c>
      <c r="F29" s="40" t="n">
        <v>0</v>
      </c>
      <c r="G29" s="40" t="n">
        <v>0</v>
      </c>
      <c r="H29" s="40" t="n">
        <v>0</v>
      </c>
      <c r="I29" s="40" t="n">
        <v>0</v>
      </c>
      <c r="J29" s="40" t="n">
        <v>0</v>
      </c>
      <c r="K29" s="40" t="n">
        <v>0</v>
      </c>
      <c r="L29" s="40" t="n">
        <v>305411.89</v>
      </c>
      <c r="M29" s="40" t="n">
        <v>432292.91</v>
      </c>
      <c r="N29" s="40" t="n">
        <v>325735.31</v>
      </c>
      <c r="O29" s="40" t="n">
        <v>427725.15</v>
      </c>
      <c r="P29" s="40" t="n">
        <v>367625.72</v>
      </c>
      <c r="Q29" s="40" t="n">
        <v>389050.59</v>
      </c>
      <c r="R29" s="40" t="n">
        <v>625174.33</v>
      </c>
      <c r="S29" s="40" t="n">
        <v>606209.54</v>
      </c>
      <c r="T29" s="40" t="n">
        <v>503317.17</v>
      </c>
      <c r="U29" s="40" t="n">
        <v>565484.4300000001</v>
      </c>
      <c r="V29" s="40" t="n">
        <v>439921.63</v>
      </c>
      <c r="W29" s="40" t="n">
        <v>504894.44</v>
      </c>
      <c r="X29" s="40" t="n">
        <v>567275.9399999999</v>
      </c>
      <c r="Y29" s="40" t="n">
        <v>849138.0699999999</v>
      </c>
      <c r="Z29" s="29">
        <f>'Inputs'!$D$26</f>
        <v/>
      </c>
      <c r="AA29" s="29">
        <f>'Inputs'!$E$26</f>
        <v/>
      </c>
      <c r="AB29" s="29">
        <f>'Inputs'!$F$26</f>
        <v/>
      </c>
      <c r="AC29" s="29">
        <f>'Inputs'!$G$26</f>
        <v/>
      </c>
      <c r="AD29" s="29">
        <f>'Inputs'!$H$26</f>
        <v/>
      </c>
      <c r="AE29" s="29">
        <f>'Inputs'!$I$26</f>
        <v/>
      </c>
      <c r="AF29" s="29">
        <f>'Inputs'!$J$26</f>
        <v/>
      </c>
      <c r="AG29" s="29">
        <f>'Inputs'!$K$26</f>
        <v/>
      </c>
      <c r="AH29" s="29">
        <f>'Inputs'!$L$26</f>
        <v/>
      </c>
      <c r="AI29" s="29">
        <f>'Inputs'!$M$26</f>
        <v/>
      </c>
    </row>
    <row r="30" ht="6" customHeight="1"/>
    <row r="31">
      <c r="B31" s="28" t="inlineStr">
        <is>
          <t>Total Revenue</t>
        </is>
      </c>
      <c r="C31" s="28" t="n"/>
      <c r="D31" s="40" t="n">
        <v>4170705.02</v>
      </c>
      <c r="E31" s="40" t="n">
        <v>4499603.19</v>
      </c>
      <c r="F31" s="40" t="n">
        <v>4371821.18</v>
      </c>
      <c r="G31" s="40" t="n">
        <v>4509949.75</v>
      </c>
      <c r="H31" s="40" t="n">
        <v>3944812.58</v>
      </c>
      <c r="I31" s="40" t="n">
        <v>4855573.14</v>
      </c>
      <c r="J31" s="40" t="n">
        <v>4378905.43</v>
      </c>
      <c r="K31" s="40" t="n">
        <v>4493045.6</v>
      </c>
      <c r="L31" s="40" t="n">
        <v>4551562.16</v>
      </c>
      <c r="M31" s="40" t="n">
        <v>5361337.67</v>
      </c>
      <c r="N31" s="40" t="n">
        <v>5191855.61</v>
      </c>
      <c r="O31" s="40" t="n">
        <v>5285465.37</v>
      </c>
      <c r="P31" s="40" t="n">
        <v>4466828.45</v>
      </c>
      <c r="Q31" s="40" t="n">
        <v>5535249.24</v>
      </c>
      <c r="R31" s="40" t="n">
        <v>5530998.96</v>
      </c>
      <c r="S31" s="40" t="n">
        <v>5860763.48</v>
      </c>
      <c r="T31" s="40" t="n">
        <v>5715216.38</v>
      </c>
      <c r="U31" s="40" t="n">
        <v>6027810.8</v>
      </c>
      <c r="V31" s="40" t="n">
        <v>5288333.86</v>
      </c>
      <c r="W31" s="40" t="n">
        <v>5952649.16</v>
      </c>
      <c r="X31" s="40" t="n">
        <v>5316860.1</v>
      </c>
      <c r="Y31" s="40" t="n">
        <v>6635718.29</v>
      </c>
      <c r="Z31" s="29">
        <f>$Z$22 + $Z$27 + $Z$29</f>
        <v/>
      </c>
      <c r="AA31" s="29">
        <f>$AA$22 + $AA$27 + $AA$29</f>
        <v/>
      </c>
      <c r="AB31" s="29">
        <f>$AB$22 + $AB$27 + $AB$29</f>
        <v/>
      </c>
      <c r="AC31" s="29">
        <f>$AC$22 + $AC$27 + $AC$29</f>
        <v/>
      </c>
      <c r="AD31" s="29">
        <f>$AD$22 + $AD$27 + $AD$29</f>
        <v/>
      </c>
      <c r="AE31" s="29">
        <f>$AE$22 + $AE$27 + $AE$29</f>
        <v/>
      </c>
      <c r="AF31" s="29">
        <f>$AF$22 + $AF$27 + $AF$29</f>
        <v/>
      </c>
      <c r="AG31" s="29">
        <f>$AG$22 + $AG$27 + $AG$29</f>
        <v/>
      </c>
      <c r="AH31" s="29">
        <f>$AH$22 + $AH$27 + $AH$29</f>
        <v/>
      </c>
      <c r="AI31" s="29">
        <f>$AI$22 + $AI$27 + $AI$29</f>
        <v/>
      </c>
    </row>
    <row r="32" ht="6" customHeight="1"/>
    <row r="33">
      <c r="B33" s="26" t="inlineStr">
        <is>
          <t>T&amp;M Material COGS</t>
        </is>
      </c>
      <c r="Z33" s="27">
        <f>IFERROR(-($Z$21 / (1 + 'Inputs'!$C$30)), 0)</f>
        <v/>
      </c>
      <c r="AA33" s="27">
        <f>IFERROR(-($AA$21 / (1 + 'Inputs'!$C$30)), 0)</f>
        <v/>
      </c>
      <c r="AB33" s="27">
        <f>IFERROR(-($AB$21 / (1 + 'Inputs'!$C$30)), 0)</f>
        <v/>
      </c>
      <c r="AC33" s="27">
        <f>IFERROR(-($AC$21 / (1 + 'Inputs'!$C$30)), 0)</f>
        <v/>
      </c>
      <c r="AD33" s="27">
        <f>IFERROR(-($AD$21 / (1 + 'Inputs'!$C$30)), 0)</f>
        <v/>
      </c>
      <c r="AE33" s="27">
        <f>IFERROR(-($AE$21 / (1 + 'Inputs'!$C$30)), 0)</f>
        <v/>
      </c>
      <c r="AF33" s="27">
        <f>IFERROR(-($AF$21 / (1 + 'Inputs'!$C$30)), 0)</f>
        <v/>
      </c>
      <c r="AG33" s="27">
        <f>IFERROR(-($AG$21 / (1 + 'Inputs'!$C$30)), 0)</f>
        <v/>
      </c>
      <c r="AH33" s="27">
        <f>IFERROR(-($AH$21 / (1 + 'Inputs'!$C$30)), 0)</f>
        <v/>
      </c>
      <c r="AI33" s="27">
        <f>IFERROR(-($AI$21 / (1 + 'Inputs'!$C$30)), 0)</f>
        <v/>
      </c>
    </row>
    <row r="34">
      <c r="B34" s="26" t="inlineStr">
        <is>
          <t>T&amp;M Labour COGS</t>
        </is>
      </c>
      <c r="Z34" s="27">
        <f>IFERROR(-($Z$20 * 'Inputs'!$C$32 / 'Inputs'!$C$31), 0)</f>
        <v/>
      </c>
      <c r="AA34" s="27">
        <f>IFERROR(-($AA$20 * 'Inputs'!$C$32 / 'Inputs'!$C$31), 0)</f>
        <v/>
      </c>
      <c r="AB34" s="27">
        <f>IFERROR(-($AB$20 * 'Inputs'!$C$32 / 'Inputs'!$C$31), 0)</f>
        <v/>
      </c>
      <c r="AC34" s="27">
        <f>IFERROR(-($AC$20 * 'Inputs'!$C$32 / 'Inputs'!$C$31), 0)</f>
        <v/>
      </c>
      <c r="AD34" s="27">
        <f>IFERROR(-($AD$20 * 'Inputs'!$C$32 / 'Inputs'!$C$31), 0)</f>
        <v/>
      </c>
      <c r="AE34" s="27">
        <f>IFERROR(-($AE$20 * 'Inputs'!$C$32 / 'Inputs'!$C$31), 0)</f>
        <v/>
      </c>
      <c r="AF34" s="27">
        <f>IFERROR(-($AF$20 * 'Inputs'!$C$32 / 'Inputs'!$C$31), 0)</f>
        <v/>
      </c>
      <c r="AG34" s="27">
        <f>IFERROR(-($AG$20 * 'Inputs'!$C$32 / 'Inputs'!$C$31), 0)</f>
        <v/>
      </c>
      <c r="AH34" s="27">
        <f>IFERROR(-($AH$20 * 'Inputs'!$C$32 / 'Inputs'!$C$31), 0)</f>
        <v/>
      </c>
      <c r="AI34" s="27">
        <f>IFERROR(-($AI$20 * 'Inputs'!$C$32 / 'Inputs'!$C$31), 0)</f>
        <v/>
      </c>
    </row>
    <row r="35">
      <c r="B35" s="38" t="inlineStr">
        <is>
          <t>T&amp;M Cost of Revenue</t>
        </is>
      </c>
      <c r="C35" s="28" t="n"/>
      <c r="D35" s="28" t="n"/>
      <c r="E35" s="28" t="n"/>
      <c r="F35" s="28" t="n"/>
      <c r="G35" s="28" t="n"/>
      <c r="H35" s="28" t="n"/>
      <c r="I35" s="28" t="n"/>
      <c r="J35" s="28" t="n"/>
      <c r="K35" s="28" t="n"/>
      <c r="L35" s="28" t="n"/>
      <c r="M35" s="28" t="n"/>
      <c r="N35" s="28" t="n"/>
      <c r="O35" s="28" t="n"/>
      <c r="P35" s="28" t="n"/>
      <c r="Q35" s="28" t="n"/>
      <c r="R35" s="28" t="n"/>
      <c r="S35" s="28" t="n"/>
      <c r="T35" s="28" t="n"/>
      <c r="U35" s="28" t="n"/>
      <c r="V35" s="28" t="n"/>
      <c r="W35" s="28" t="n"/>
      <c r="X35" s="28" t="n"/>
      <c r="Y35" s="28" t="n"/>
      <c r="Z35" s="29">
        <f>$Z$33 + $Z$34</f>
        <v/>
      </c>
      <c r="AA35" s="29">
        <f>$AA$33 + $AA$34</f>
        <v/>
      </c>
      <c r="AB35" s="29">
        <f>$AB$33 + $AB$34</f>
        <v/>
      </c>
      <c r="AC35" s="29">
        <f>$AC$33 + $AC$34</f>
        <v/>
      </c>
      <c r="AD35" s="29">
        <f>$AD$33 + $AD$34</f>
        <v/>
      </c>
      <c r="AE35" s="29">
        <f>$AE$33 + $AE$34</f>
        <v/>
      </c>
      <c r="AF35" s="29">
        <f>$AF$33 + $AF$34</f>
        <v/>
      </c>
      <c r="AG35" s="29">
        <f>$AG$33 + $AG$34</f>
        <v/>
      </c>
      <c r="AH35" s="29">
        <f>$AH$33 + $AH$34</f>
        <v/>
      </c>
      <c r="AI35" s="29">
        <f>$AI$33 + $AI$34</f>
        <v/>
      </c>
    </row>
    <row r="36" ht="6" customHeight="1"/>
    <row r="37">
      <c r="B37" s="26" t="inlineStr">
        <is>
          <t>T&amp;M Gross Profit</t>
        </is>
      </c>
      <c r="Z37" s="27">
        <f>$Z$22 + $Z$35</f>
        <v/>
      </c>
      <c r="AA37" s="27">
        <f>$AA$22 + $AA$35</f>
        <v/>
      </c>
      <c r="AB37" s="27">
        <f>$AB$22 + $AB$35</f>
        <v/>
      </c>
      <c r="AC37" s="27">
        <f>$AC$22 + $AC$35</f>
        <v/>
      </c>
      <c r="AD37" s="27">
        <f>$AD$22 + $AD$35</f>
        <v/>
      </c>
      <c r="AE37" s="27">
        <f>$AE$22 + $AE$35</f>
        <v/>
      </c>
      <c r="AF37" s="27">
        <f>$AF$22 + $AF$35</f>
        <v/>
      </c>
      <c r="AG37" s="27">
        <f>$AG$22 + $AG$35</f>
        <v/>
      </c>
      <c r="AH37" s="27">
        <f>$AH$22 + $AH$35</f>
        <v/>
      </c>
      <c r="AI37" s="27">
        <f>$AI$22 + $AI$35</f>
        <v/>
      </c>
    </row>
    <row r="38">
      <c r="B38" s="41" t="inlineStr">
        <is>
          <t>T&amp;M Gross Margin</t>
        </is>
      </c>
      <c r="C38" s="41" t="n"/>
      <c r="Z38" s="32">
        <f>IFERROR($Z$37 / $Z$22, 0)</f>
        <v/>
      </c>
      <c r="AA38" s="32">
        <f>IFERROR($AA$37 / $AA$22, 0)</f>
        <v/>
      </c>
      <c r="AB38" s="32">
        <f>IFERROR($AB$37 / $AB$22, 0)</f>
        <v/>
      </c>
      <c r="AC38" s="32">
        <f>IFERROR($AC$37 / $AC$22, 0)</f>
        <v/>
      </c>
      <c r="AD38" s="32">
        <f>IFERROR($AD$37 / $AD$22, 0)</f>
        <v/>
      </c>
      <c r="AE38" s="32">
        <f>IFERROR($AE$37 / $AE$22, 0)</f>
        <v/>
      </c>
      <c r="AF38" s="32">
        <f>IFERROR($AF$37 / $AF$22, 0)</f>
        <v/>
      </c>
      <c r="AG38" s="32">
        <f>IFERROR($AG$37 / $AG$22, 0)</f>
        <v/>
      </c>
      <c r="AH38" s="32">
        <f>IFERROR($AH$37 / $AH$22, 0)</f>
        <v/>
      </c>
      <c r="AI38" s="32">
        <f>IFERROR($AI$37 / $AI$22, 0)</f>
        <v/>
      </c>
    </row>
    <row r="39">
      <c r="B39" s="26" t="inlineStr">
        <is>
          <t>Fixed-Price Cost of Revenue</t>
        </is>
      </c>
      <c r="C39" t="inlineStr">
        <is>
          <t>Backed into from the blended target: fixed-price gross profit = target GM x total revenue - T&amp;M gross profit - Series Production gross profit, floored so the implied fixed-price margin cannot fall below fp_gross_margin_floor. The floor binds when T&amp;M both carries a high margin and dominates revenue — algebraically the unfloored backsolve turns negative once the T&amp;M share exceeds target_gross_margin / T&amp;M gross margin. When it binds the blended margin floats ABOVE target rather than the fixed-price segment absorbing an impossible loss.</t>
        </is>
      </c>
      <c r="Z39" s="27">
        <f>-MIN($Z$27 + $Z$37 + $Z$43 - 'Inputs'!$C$34 * $Z$31, $Z$27 * (1 - 'Inputs'!$C$35))</f>
        <v/>
      </c>
      <c r="AA39" s="27">
        <f>-MIN($AA$27 + $AA$37 + $AA$43 - 'Inputs'!$C$34 * $AA$31, $AA$27 * (1 - 'Inputs'!$C$35))</f>
        <v/>
      </c>
      <c r="AB39" s="27">
        <f>-MIN($AB$27 + $AB$37 + $AB$43 - 'Inputs'!$C$34 * $AB$31, $AB$27 * (1 - 'Inputs'!$C$35))</f>
        <v/>
      </c>
      <c r="AC39" s="27">
        <f>-MIN($AC$27 + $AC$37 + $AC$43 - 'Inputs'!$C$34 * $AC$31, $AC$27 * (1 - 'Inputs'!$C$35))</f>
        <v/>
      </c>
      <c r="AD39" s="27">
        <f>-MIN($AD$27 + $AD$37 + $AD$43 - 'Inputs'!$C$34 * $AD$31, $AD$27 * (1 - 'Inputs'!$C$35))</f>
        <v/>
      </c>
      <c r="AE39" s="27">
        <f>-MIN($AE$27 + $AE$37 + $AE$43 - 'Inputs'!$C$34 * $AE$31, $AE$27 * (1 - 'Inputs'!$C$35))</f>
        <v/>
      </c>
      <c r="AF39" s="27">
        <f>-MIN($AF$27 + $AF$37 + $AF$43 - 'Inputs'!$C$34 * $AF$31, $AF$27 * (1 - 'Inputs'!$C$35))</f>
        <v/>
      </c>
      <c r="AG39" s="27">
        <f>-MIN($AG$27 + $AG$37 + $AG$43 - 'Inputs'!$C$34 * $AG$31, $AG$27 * (1 - 'Inputs'!$C$35))</f>
        <v/>
      </c>
      <c r="AH39" s="27">
        <f>-MIN($AH$27 + $AH$37 + $AH$43 - 'Inputs'!$C$34 * $AH$31, $AH$27 * (1 - 'Inputs'!$C$35))</f>
        <v/>
      </c>
      <c r="AI39" s="27">
        <f>-MIN($AI$27 + $AI$37 + $AI$43 - 'Inputs'!$C$34 * $AI$31, $AI$27 * (1 - 'Inputs'!$C$35))</f>
        <v/>
      </c>
    </row>
    <row r="40">
      <c r="B40" s="26" t="inlineStr">
        <is>
          <t>Fixed-Price Gross Profit</t>
        </is>
      </c>
      <c r="Z40" s="27">
        <f>$Z$27 + $Z$39</f>
        <v/>
      </c>
      <c r="AA40" s="27">
        <f>$AA$27 + $AA$39</f>
        <v/>
      </c>
      <c r="AB40" s="27">
        <f>$AB$27 + $AB$39</f>
        <v/>
      </c>
      <c r="AC40" s="27">
        <f>$AC$27 + $AC$39</f>
        <v/>
      </c>
      <c r="AD40" s="27">
        <f>$AD$27 + $AD$39</f>
        <v/>
      </c>
      <c r="AE40" s="27">
        <f>$AE$27 + $AE$39</f>
        <v/>
      </c>
      <c r="AF40" s="27">
        <f>$AF$27 + $AF$39</f>
        <v/>
      </c>
      <c r="AG40" s="27">
        <f>$AG$27 + $AG$39</f>
        <v/>
      </c>
      <c r="AH40" s="27">
        <f>$AH$27 + $AH$39</f>
        <v/>
      </c>
      <c r="AI40" s="27">
        <f>$AI$27 + $AI$39</f>
        <v/>
      </c>
    </row>
    <row r="41">
      <c r="B41" s="41" t="inlineStr">
        <is>
          <t>Fixed-Price Gross Margin (implied)</t>
        </is>
      </c>
      <c r="C41" s="41" t="n"/>
      <c r="Z41" s="32">
        <f>IFERROR($Z$40 / $Z$27, 0)</f>
        <v/>
      </c>
      <c r="AA41" s="32">
        <f>IFERROR($AA$40 / $AA$27, 0)</f>
        <v/>
      </c>
      <c r="AB41" s="32">
        <f>IFERROR($AB$40 / $AB$27, 0)</f>
        <v/>
      </c>
      <c r="AC41" s="32">
        <f>IFERROR($AC$40 / $AC$27, 0)</f>
        <v/>
      </c>
      <c r="AD41" s="32">
        <f>IFERROR($AD$40 / $AD$27, 0)</f>
        <v/>
      </c>
      <c r="AE41" s="32">
        <f>IFERROR($AE$40 / $AE$27, 0)</f>
        <v/>
      </c>
      <c r="AF41" s="32">
        <f>IFERROR($AF$40 / $AF$27, 0)</f>
        <v/>
      </c>
      <c r="AG41" s="32">
        <f>IFERROR($AG$40 / $AG$27, 0)</f>
        <v/>
      </c>
      <c r="AH41" s="32">
        <f>IFERROR($AH$40 / $AH$27, 0)</f>
        <v/>
      </c>
      <c r="AI41" s="32">
        <f>IFERROR($AI$40 / $AI$27, 0)</f>
        <v/>
      </c>
    </row>
    <row r="42">
      <c r="B42" s="26" t="inlineStr">
        <is>
          <t>Series Production Cost of Revenue</t>
        </is>
      </c>
      <c r="Z42" s="27">
        <f>-($Z$29 * (1 - 'Inputs'!$C$33))</f>
        <v/>
      </c>
      <c r="AA42" s="27">
        <f>-($AA$29 * (1 - 'Inputs'!$C$33))</f>
        <v/>
      </c>
      <c r="AB42" s="27">
        <f>-($AB$29 * (1 - 'Inputs'!$C$33))</f>
        <v/>
      </c>
      <c r="AC42" s="27">
        <f>-($AC$29 * (1 - 'Inputs'!$C$33))</f>
        <v/>
      </c>
      <c r="AD42" s="27">
        <f>-($AD$29 * (1 - 'Inputs'!$C$33))</f>
        <v/>
      </c>
      <c r="AE42" s="27">
        <f>-($AE$29 * (1 - 'Inputs'!$C$33))</f>
        <v/>
      </c>
      <c r="AF42" s="27">
        <f>-($AF$29 * (1 - 'Inputs'!$C$33))</f>
        <v/>
      </c>
      <c r="AG42" s="27">
        <f>-($AG$29 * (1 - 'Inputs'!$C$33))</f>
        <v/>
      </c>
      <c r="AH42" s="27">
        <f>-($AH$29 * (1 - 'Inputs'!$C$33))</f>
        <v/>
      </c>
      <c r="AI42" s="27">
        <f>-($AI$29 * (1 - 'Inputs'!$C$33))</f>
        <v/>
      </c>
    </row>
    <row r="43">
      <c r="B43" s="26" t="inlineStr">
        <is>
          <t>Series Production Gross Profit</t>
        </is>
      </c>
      <c r="Z43" s="27">
        <f>$Z$29 + $Z$42</f>
        <v/>
      </c>
      <c r="AA43" s="27">
        <f>$AA$29 + $AA$42</f>
        <v/>
      </c>
      <c r="AB43" s="27">
        <f>$AB$29 + $AB$42</f>
        <v/>
      </c>
      <c r="AC43" s="27">
        <f>$AC$29 + $AC$42</f>
        <v/>
      </c>
      <c r="AD43" s="27">
        <f>$AD$29 + $AD$42</f>
        <v/>
      </c>
      <c r="AE43" s="27">
        <f>$AE$29 + $AE$42</f>
        <v/>
      </c>
      <c r="AF43" s="27">
        <f>$AF$29 + $AF$42</f>
        <v/>
      </c>
      <c r="AG43" s="27">
        <f>$AG$29 + $AG$42</f>
        <v/>
      </c>
      <c r="AH43" s="27">
        <f>$AH$29 + $AH$42</f>
        <v/>
      </c>
      <c r="AI43" s="27">
        <f>$AI$29 + $AI$42</f>
        <v/>
      </c>
    </row>
    <row r="44">
      <c r="B44" s="38" t="inlineStr">
        <is>
          <t>Total Cost of Revenue</t>
        </is>
      </c>
      <c r="C44" s="28" t="n"/>
      <c r="D44" s="40" t="n">
        <v>-1736074.45</v>
      </c>
      <c r="E44" s="40" t="n">
        <v>-1922485.27</v>
      </c>
      <c r="F44" s="40" t="n">
        <v>-1881790.21</v>
      </c>
      <c r="G44" s="40" t="n">
        <v>-1925686.95</v>
      </c>
      <c r="H44" s="40" t="n">
        <v>-1573156.48</v>
      </c>
      <c r="I44" s="40" t="n">
        <v>-2118089.93</v>
      </c>
      <c r="J44" s="40" t="n">
        <v>-1882326.09</v>
      </c>
      <c r="K44" s="40" t="n">
        <v>-2006404.5</v>
      </c>
      <c r="L44" s="40" t="n">
        <v>-2071369.42</v>
      </c>
      <c r="M44" s="40" t="n">
        <v>-2396983.15</v>
      </c>
      <c r="N44" s="40" t="n">
        <v>-2313339.37</v>
      </c>
      <c r="O44" s="40" t="n">
        <v>-2274771</v>
      </c>
      <c r="P44" s="40" t="n">
        <v>-1969340.62</v>
      </c>
      <c r="Q44" s="40" t="n">
        <v>-2359015.42</v>
      </c>
      <c r="R44" s="40" t="n">
        <v>-2318431.77</v>
      </c>
      <c r="S44" s="40" t="n">
        <v>-2644257.96</v>
      </c>
      <c r="T44" s="40" t="n">
        <v>-2532036.74</v>
      </c>
      <c r="U44" s="40" t="n">
        <v>-2668268.63</v>
      </c>
      <c r="V44" s="40" t="n">
        <v>-2389343.01</v>
      </c>
      <c r="W44" s="40" t="n">
        <v>-2805314.25</v>
      </c>
      <c r="X44" s="40" t="n">
        <v>-2452693.44</v>
      </c>
      <c r="Y44" s="40" t="n">
        <v>-3081524.25</v>
      </c>
      <c r="Z44" s="29">
        <f>$Z$35 + $Z$39 + $Z$42</f>
        <v/>
      </c>
      <c r="AA44" s="29">
        <f>$AA$35 + $AA$39 + $AA$42</f>
        <v/>
      </c>
      <c r="AB44" s="29">
        <f>$AB$35 + $AB$39 + $AB$42</f>
        <v/>
      </c>
      <c r="AC44" s="29">
        <f>$AC$35 + $AC$39 + $AC$42</f>
        <v/>
      </c>
      <c r="AD44" s="29">
        <f>$AD$35 + $AD$39 + $AD$42</f>
        <v/>
      </c>
      <c r="AE44" s="29">
        <f>$AE$35 + $AE$39 + $AE$42</f>
        <v/>
      </c>
      <c r="AF44" s="29">
        <f>$AF$35 + $AF$39 + $AF$42</f>
        <v/>
      </c>
      <c r="AG44" s="29">
        <f>$AG$35 + $AG$39 + $AG$42</f>
        <v/>
      </c>
      <c r="AH44" s="29">
        <f>$AH$35 + $AH$39 + $AH$42</f>
        <v/>
      </c>
      <c r="AI44" s="29">
        <f>$AI$35 + $AI$39 + $AI$42</f>
        <v/>
      </c>
    </row>
    <row r="45" ht="6" customHeight="1"/>
    <row r="46">
      <c r="B46" s="38" t="inlineStr">
        <is>
          <t>Gross Profit</t>
        </is>
      </c>
      <c r="C46" s="28" t="n"/>
      <c r="D46" s="40" t="n">
        <v>2434630.57</v>
      </c>
      <c r="E46" s="40" t="n">
        <v>2577117.92</v>
      </c>
      <c r="F46" s="40" t="n">
        <v>2490030.97</v>
      </c>
      <c r="G46" s="40" t="n">
        <v>2584262.8</v>
      </c>
      <c r="H46" s="40" t="n">
        <v>2371656.1</v>
      </c>
      <c r="I46" s="40" t="n">
        <v>2737483.21</v>
      </c>
      <c r="J46" s="40" t="n">
        <v>2496579.34</v>
      </c>
      <c r="K46" s="40" t="n">
        <v>2486641.1</v>
      </c>
      <c r="L46" s="40" t="n">
        <v>2480192.74</v>
      </c>
      <c r="M46" s="40" t="n">
        <v>2964354.52</v>
      </c>
      <c r="N46" s="40" t="n">
        <v>2878516.24</v>
      </c>
      <c r="O46" s="40" t="n">
        <v>3010694.37</v>
      </c>
      <c r="P46" s="40" t="n">
        <v>2497487.83</v>
      </c>
      <c r="Q46" s="40" t="n">
        <v>3176233.82</v>
      </c>
      <c r="R46" s="40" t="n">
        <v>3212567.19</v>
      </c>
      <c r="S46" s="40" t="n">
        <v>3216505.52</v>
      </c>
      <c r="T46" s="40" t="n">
        <v>3183179.64</v>
      </c>
      <c r="U46" s="40" t="n">
        <v>3359542.17</v>
      </c>
      <c r="V46" s="40" t="n">
        <v>2898990.85</v>
      </c>
      <c r="W46" s="40" t="n">
        <v>3147334.91</v>
      </c>
      <c r="X46" s="40" t="n">
        <v>2864166.66</v>
      </c>
      <c r="Y46" s="40" t="n">
        <v>3554194.04</v>
      </c>
      <c r="Z46" s="29">
        <f>$Z$31 + $Z$44</f>
        <v/>
      </c>
      <c r="AA46" s="29">
        <f>$AA$31 + $AA$44</f>
        <v/>
      </c>
      <c r="AB46" s="29">
        <f>$AB$31 + $AB$44</f>
        <v/>
      </c>
      <c r="AC46" s="29">
        <f>$AC$31 + $AC$44</f>
        <v/>
      </c>
      <c r="AD46" s="29">
        <f>$AD$31 + $AD$44</f>
        <v/>
      </c>
      <c r="AE46" s="29">
        <f>$AE$31 + $AE$44</f>
        <v/>
      </c>
      <c r="AF46" s="29">
        <f>$AF$31 + $AF$44</f>
        <v/>
      </c>
      <c r="AG46" s="29">
        <f>$AG$31 + $AG$44</f>
        <v/>
      </c>
      <c r="AH46" s="29">
        <f>$AH$31 + $AH$44</f>
        <v/>
      </c>
      <c r="AI46" s="29">
        <f>$AI$31 + $AI$44</f>
        <v/>
      </c>
    </row>
    <row r="47" ht="6" customHeight="1"/>
    <row r="48">
      <c r="B48" s="41" t="inlineStr">
        <is>
          <t>Gross Margin</t>
        </is>
      </c>
      <c r="C48" s="41" t="n"/>
      <c r="D48" s="32">
        <f>IFERROR($D$46 / $D$31, 0)</f>
        <v/>
      </c>
      <c r="E48" s="32">
        <f>IFERROR($E$46 / $E$31, 0)</f>
        <v/>
      </c>
      <c r="F48" s="32">
        <f>IFERROR($F$46 / $F$31, 0)</f>
        <v/>
      </c>
      <c r="G48" s="32">
        <f>IFERROR($G$46 / $G$31, 0)</f>
        <v/>
      </c>
      <c r="H48" s="32">
        <f>IFERROR($H$46 / $H$31, 0)</f>
        <v/>
      </c>
      <c r="I48" s="32">
        <f>IFERROR($I$46 / $I$31, 0)</f>
        <v/>
      </c>
      <c r="J48" s="32">
        <f>IFERROR($J$46 / $J$31, 0)</f>
        <v/>
      </c>
      <c r="K48" s="32">
        <f>IFERROR($K$46 / $K$31, 0)</f>
        <v/>
      </c>
      <c r="L48" s="32">
        <f>IFERROR($L$46 / $L$31, 0)</f>
        <v/>
      </c>
      <c r="M48" s="32">
        <f>IFERROR($M$46 / $M$31, 0)</f>
        <v/>
      </c>
      <c r="N48" s="32">
        <f>IFERROR($N$46 / $N$31, 0)</f>
        <v/>
      </c>
      <c r="O48" s="32">
        <f>IFERROR($O$46 / $O$31, 0)</f>
        <v/>
      </c>
      <c r="P48" s="32">
        <f>IFERROR($P$46 / $P$31, 0)</f>
        <v/>
      </c>
      <c r="Q48" s="32">
        <f>IFERROR($Q$46 / $Q$31, 0)</f>
        <v/>
      </c>
      <c r="R48" s="32">
        <f>IFERROR($R$46 / $R$31, 0)</f>
        <v/>
      </c>
      <c r="S48" s="32">
        <f>IFERROR($S$46 / $S$31, 0)</f>
        <v/>
      </c>
      <c r="T48" s="32">
        <f>IFERROR($T$46 / $T$31, 0)</f>
        <v/>
      </c>
      <c r="U48" s="32">
        <f>IFERROR($U$46 / $U$31, 0)</f>
        <v/>
      </c>
      <c r="V48" s="32">
        <f>IFERROR($V$46 / $V$31, 0)</f>
        <v/>
      </c>
      <c r="W48" s="32">
        <f>IFERROR($W$46 / $W$31, 0)</f>
        <v/>
      </c>
      <c r="X48" s="32">
        <f>IFERROR($X$46 / $X$31, 0)</f>
        <v/>
      </c>
      <c r="Y48" s="32">
        <f>IFERROR($Y$46 / $Y$31, 0)</f>
        <v/>
      </c>
      <c r="Z48" s="32">
        <f>IFERROR($Z$46 / $Z$31, 0)</f>
        <v/>
      </c>
      <c r="AA48" s="32">
        <f>IFERROR($AA$46 / $AA$31, 0)</f>
        <v/>
      </c>
      <c r="AB48" s="32">
        <f>IFERROR($AB$46 / $AB$31, 0)</f>
        <v/>
      </c>
      <c r="AC48" s="32">
        <f>IFERROR($AC$46 / $AC$31, 0)</f>
        <v/>
      </c>
      <c r="AD48" s="32">
        <f>IFERROR($AD$46 / $AD$31, 0)</f>
        <v/>
      </c>
      <c r="AE48" s="32">
        <f>IFERROR($AE$46 / $AE$31, 0)</f>
        <v/>
      </c>
      <c r="AF48" s="32">
        <f>IFERROR($AF$46 / $AF$31, 0)</f>
        <v/>
      </c>
      <c r="AG48" s="32">
        <f>IFERROR($AG$46 / $AG$31, 0)</f>
        <v/>
      </c>
      <c r="AH48" s="32">
        <f>IFERROR($AH$46 / $AH$31, 0)</f>
        <v/>
      </c>
      <c r="AI48" s="32">
        <f>IFERROR($AI$46 / $AI$31, 0)</f>
        <v/>
      </c>
    </row>
    <row r="49">
      <c r="B49" s="26" t="inlineStr">
        <is>
          <t>Sales &amp; Marketing</t>
        </is>
      </c>
      <c r="D49" s="39" t="n">
        <v>-154629.85</v>
      </c>
      <c r="E49" s="39" t="n">
        <v>-160251.03</v>
      </c>
      <c r="F49" s="39" t="n">
        <v>-153073.64</v>
      </c>
      <c r="G49" s="39" t="n">
        <v>-127524.03</v>
      </c>
      <c r="H49" s="39" t="n">
        <v>-166599.5</v>
      </c>
      <c r="I49" s="39" t="n">
        <v>-169608.29</v>
      </c>
      <c r="J49" s="39" t="n">
        <v>-163385.45</v>
      </c>
      <c r="K49" s="39" t="n">
        <v>-147989.81</v>
      </c>
      <c r="L49" s="39" t="n">
        <v>-138300.37</v>
      </c>
      <c r="M49" s="39" t="n">
        <v>-161530.45</v>
      </c>
      <c r="N49" s="39" t="n">
        <v>-168015.69</v>
      </c>
      <c r="O49" s="39" t="n">
        <v>-157733.62</v>
      </c>
      <c r="P49" s="39" t="n">
        <v>-145981.49</v>
      </c>
      <c r="Q49" s="39" t="n">
        <v>-163958.04</v>
      </c>
      <c r="R49" s="39" t="n">
        <v>-166364.62</v>
      </c>
      <c r="S49" s="39" t="n">
        <v>-172662.03</v>
      </c>
      <c r="T49" s="39" t="n">
        <v>-188491.4</v>
      </c>
      <c r="U49" s="39" t="n">
        <v>-175566.01</v>
      </c>
      <c r="V49" s="39" t="n">
        <v>-175602.4</v>
      </c>
      <c r="W49" s="39" t="n">
        <v>-166138.85</v>
      </c>
      <c r="X49" s="39" t="n">
        <v>-183290.26</v>
      </c>
      <c r="Y49" s="39" t="n">
        <v>-169153.59</v>
      </c>
      <c r="Z49" s="27">
        <f>-($Z$31 * 'Inputs'!$C$39)</f>
        <v/>
      </c>
      <c r="AA49" s="27">
        <f>-($AA$31 * 'Inputs'!$C$39)</f>
        <v/>
      </c>
      <c r="AB49" s="27">
        <f>-($AB$31 * 'Inputs'!$C$39)</f>
        <v/>
      </c>
      <c r="AC49" s="27">
        <f>-($AC$31 * 'Inputs'!$C$39)</f>
        <v/>
      </c>
      <c r="AD49" s="27">
        <f>-($AD$31 * 'Inputs'!$C$39)</f>
        <v/>
      </c>
      <c r="AE49" s="27">
        <f>-($AE$31 * 'Inputs'!$C$39)</f>
        <v/>
      </c>
      <c r="AF49" s="27">
        <f>-($AF$31 * 'Inputs'!$C$39)</f>
        <v/>
      </c>
      <c r="AG49" s="27">
        <f>-($AG$31 * 'Inputs'!$C$39)</f>
        <v/>
      </c>
      <c r="AH49" s="27">
        <f>-($AH$31 * 'Inputs'!$C$39)</f>
        <v/>
      </c>
      <c r="AI49" s="27">
        <f>-($AI$31 * 'Inputs'!$C$39)</f>
        <v/>
      </c>
    </row>
    <row r="50">
      <c r="B50" s="26" t="inlineStr">
        <is>
          <t>General &amp; Administrative</t>
        </is>
      </c>
      <c r="D50" s="39" t="n">
        <v>-353894.91</v>
      </c>
      <c r="E50" s="39" t="n">
        <v>-366936.25</v>
      </c>
      <c r="F50" s="39" t="n">
        <v>-395858.41</v>
      </c>
      <c r="G50" s="39" t="n">
        <v>-406300.16</v>
      </c>
      <c r="H50" s="39" t="n">
        <v>-390129.32</v>
      </c>
      <c r="I50" s="39" t="n">
        <v>-389525.67</v>
      </c>
      <c r="J50" s="39" t="n">
        <v>-407424.05</v>
      </c>
      <c r="K50" s="39" t="n">
        <v>-393276.34</v>
      </c>
      <c r="L50" s="39" t="n">
        <v>-426654.67</v>
      </c>
      <c r="M50" s="39" t="n">
        <v>-395923.04</v>
      </c>
      <c r="N50" s="39" t="n">
        <v>-444812.28</v>
      </c>
      <c r="O50" s="39" t="n">
        <v>-433616.1</v>
      </c>
      <c r="P50" s="39" t="n">
        <v>-426042.26</v>
      </c>
      <c r="Q50" s="39" t="n">
        <v>-414510.15</v>
      </c>
      <c r="R50" s="39" t="n">
        <v>-439506.44</v>
      </c>
      <c r="S50" s="39" t="n">
        <v>-450187.92</v>
      </c>
      <c r="T50" s="39" t="n">
        <v>-443595.32</v>
      </c>
      <c r="U50" s="39" t="n">
        <v>-422873.47</v>
      </c>
      <c r="V50" s="39" t="n">
        <v>-455640.06</v>
      </c>
      <c r="W50" s="39" t="n">
        <v>-460830.46</v>
      </c>
      <c r="X50" s="39" t="n">
        <v>-467719.89</v>
      </c>
      <c r="Y50" s="39" t="n">
        <v>-438464.24</v>
      </c>
      <c r="Z50" s="27">
        <f>IFERROR(-('Inputs'!$C$40 / 4 * $Z$65), 0)</f>
        <v/>
      </c>
      <c r="AA50" s="27">
        <f>IFERROR(-('Inputs'!$C$40 / 4 * $AA$65), 0)</f>
        <v/>
      </c>
      <c r="AB50" s="27">
        <f>IFERROR(-('Inputs'!$C$40 / 4 * $AB$65), 0)</f>
        <v/>
      </c>
      <c r="AC50" s="27">
        <f>IFERROR(-('Inputs'!$C$40 / 4 * $AC$65), 0)</f>
        <v/>
      </c>
      <c r="AD50" s="27">
        <f>IFERROR(-('Inputs'!$C$40 / 4 * $AD$65), 0)</f>
        <v/>
      </c>
      <c r="AE50" s="27">
        <f>IFERROR(-('Inputs'!$C$40 / 4 * $AE$65), 0)</f>
        <v/>
      </c>
      <c r="AF50" s="27">
        <f>IFERROR(-('Inputs'!$C$40 / 4 * $AF$65), 0)</f>
        <v/>
      </c>
      <c r="AG50" s="27">
        <f>IFERROR(-('Inputs'!$C$40 / 4 * $AG$65), 0)</f>
        <v/>
      </c>
      <c r="AH50" s="27">
        <f>IFERROR(-('Inputs'!$C$40 / 4 * $AH$65), 0)</f>
        <v/>
      </c>
      <c r="AI50" s="27">
        <f>IFERROR(-('Inputs'!$C$40 / 4 * $AI$65), 0)</f>
        <v/>
      </c>
    </row>
    <row r="51">
      <c r="B51" s="26" t="inlineStr">
        <is>
          <t>Overhead (indirect ops)</t>
        </is>
      </c>
      <c r="D51" s="39" t="n">
        <v>-416584.21</v>
      </c>
      <c r="E51" s="39" t="n">
        <v>-416425.85</v>
      </c>
      <c r="F51" s="39" t="n">
        <v>-463906.52</v>
      </c>
      <c r="G51" s="39" t="n">
        <v>-471684.99</v>
      </c>
      <c r="H51" s="39" t="n">
        <v>-417132.2</v>
      </c>
      <c r="I51" s="39" t="n">
        <v>-424441.94</v>
      </c>
      <c r="J51" s="39" t="n">
        <v>-479723.28</v>
      </c>
      <c r="K51" s="39" t="n">
        <v>-468106.1</v>
      </c>
      <c r="L51" s="39" t="n">
        <v>-490525.49</v>
      </c>
      <c r="M51" s="39" t="n">
        <v>-489600.73</v>
      </c>
      <c r="N51" s="39" t="n">
        <v>-538023.05</v>
      </c>
      <c r="O51" s="39" t="n">
        <v>-460569.89</v>
      </c>
      <c r="P51" s="39" t="n">
        <v>-511811.73</v>
      </c>
      <c r="Q51" s="39" t="n">
        <v>-542618.13</v>
      </c>
      <c r="R51" s="39" t="n">
        <v>-538946.4</v>
      </c>
      <c r="S51" s="39" t="n">
        <v>-515061.19</v>
      </c>
      <c r="T51" s="39" t="n">
        <v>-448284.93</v>
      </c>
      <c r="U51" s="39" t="n">
        <v>-515968.11</v>
      </c>
      <c r="V51" s="39" t="n">
        <v>-504899.35</v>
      </c>
      <c r="W51" s="39" t="n">
        <v>-565380.6</v>
      </c>
      <c r="X51" s="39" t="n">
        <v>-543411.87</v>
      </c>
      <c r="Y51" s="39" t="n">
        <v>-520716.37</v>
      </c>
      <c r="Z51" s="27">
        <f>IFERROR(-('Inputs'!$C$41 / 4 * $Z$65), 0)</f>
        <v/>
      </c>
      <c r="AA51" s="27">
        <f>IFERROR(-('Inputs'!$C$41 / 4 * $AA$65), 0)</f>
        <v/>
      </c>
      <c r="AB51" s="27">
        <f>IFERROR(-('Inputs'!$C$41 / 4 * $AB$65), 0)</f>
        <v/>
      </c>
      <c r="AC51" s="27">
        <f>IFERROR(-('Inputs'!$C$41 / 4 * $AC$65), 0)</f>
        <v/>
      </c>
      <c r="AD51" s="27">
        <f>IFERROR(-('Inputs'!$C$41 / 4 * $AD$65), 0)</f>
        <v/>
      </c>
      <c r="AE51" s="27">
        <f>IFERROR(-('Inputs'!$C$41 / 4 * $AE$65), 0)</f>
        <v/>
      </c>
      <c r="AF51" s="27">
        <f>IFERROR(-('Inputs'!$C$41 / 4 * $AF$65), 0)</f>
        <v/>
      </c>
      <c r="AG51" s="27">
        <f>IFERROR(-('Inputs'!$C$41 / 4 * $AG$65), 0)</f>
        <v/>
      </c>
      <c r="AH51" s="27">
        <f>IFERROR(-('Inputs'!$C$41 / 4 * $AH$65), 0)</f>
        <v/>
      </c>
      <c r="AI51" s="27">
        <f>IFERROR(-('Inputs'!$C$41 / 4 * $AI$65), 0)</f>
        <v/>
      </c>
    </row>
    <row r="52">
      <c r="B52" s="26" t="inlineStr">
        <is>
          <t>Fringe &amp; Benefits</t>
        </is>
      </c>
      <c r="D52" s="39" t="n">
        <v>-377510.88</v>
      </c>
      <c r="E52" s="39" t="n">
        <v>-380871.27</v>
      </c>
      <c r="F52" s="39" t="n">
        <v>-383966.48</v>
      </c>
      <c r="G52" s="39" t="n">
        <v>-380008.28</v>
      </c>
      <c r="H52" s="39" t="n">
        <v>-386547.38</v>
      </c>
      <c r="I52" s="39" t="n">
        <v>-386736.55</v>
      </c>
      <c r="J52" s="39" t="n">
        <v>-383651.55</v>
      </c>
      <c r="K52" s="39" t="n">
        <v>-384601.14</v>
      </c>
      <c r="L52" s="39" t="n">
        <v>-401660.64</v>
      </c>
      <c r="M52" s="39" t="n">
        <v>-406525.83</v>
      </c>
      <c r="N52" s="39" t="n">
        <v>-416477.81</v>
      </c>
      <c r="O52" s="39" t="n">
        <v>-436485.99</v>
      </c>
      <c r="P52" s="39" t="n">
        <v>-414198.41</v>
      </c>
      <c r="Q52" s="39" t="n">
        <v>-397373.16</v>
      </c>
      <c r="R52" s="39" t="n">
        <v>-431127.96</v>
      </c>
      <c r="S52" s="39" t="n">
        <v>-409049.27</v>
      </c>
      <c r="T52" s="39" t="n">
        <v>-433214.23</v>
      </c>
      <c r="U52" s="39" t="n">
        <v>-454692.14</v>
      </c>
      <c r="V52" s="39" t="n">
        <v>-441974.81</v>
      </c>
      <c r="W52" s="39" t="n">
        <v>-437587.25</v>
      </c>
      <c r="X52" s="39" t="n">
        <v>-470172.35</v>
      </c>
      <c r="Y52" s="39" t="n">
        <v>-441362.91</v>
      </c>
      <c r="Z52" s="27">
        <f>IFERROR(-('Inputs'!$C$42 / 4 * $Z$65), 0)</f>
        <v/>
      </c>
      <c r="AA52" s="27">
        <f>IFERROR(-('Inputs'!$C$42 / 4 * $AA$65), 0)</f>
        <v/>
      </c>
      <c r="AB52" s="27">
        <f>IFERROR(-('Inputs'!$C$42 / 4 * $AB$65), 0)</f>
        <v/>
      </c>
      <c r="AC52" s="27">
        <f>IFERROR(-('Inputs'!$C$42 / 4 * $AC$65), 0)</f>
        <v/>
      </c>
      <c r="AD52" s="27">
        <f>IFERROR(-('Inputs'!$C$42 / 4 * $AD$65), 0)</f>
        <v/>
      </c>
      <c r="AE52" s="27">
        <f>IFERROR(-('Inputs'!$C$42 / 4 * $AE$65), 0)</f>
        <v/>
      </c>
      <c r="AF52" s="27">
        <f>IFERROR(-('Inputs'!$C$42 / 4 * $AF$65), 0)</f>
        <v/>
      </c>
      <c r="AG52" s="27">
        <f>IFERROR(-('Inputs'!$C$42 / 4 * $AG$65), 0)</f>
        <v/>
      </c>
      <c r="AH52" s="27">
        <f>IFERROR(-('Inputs'!$C$42 / 4 * $AH$65), 0)</f>
        <v/>
      </c>
      <c r="AI52" s="27">
        <f>IFERROR(-('Inputs'!$C$42 / 4 * $AI$65), 0)</f>
        <v/>
      </c>
    </row>
    <row r="53">
      <c r="B53" s="26" t="inlineStr">
        <is>
          <t>Facilities &amp; Occupancy</t>
        </is>
      </c>
      <c r="D53" s="39" t="n">
        <v>-131169.79</v>
      </c>
      <c r="E53" s="39" t="n">
        <v>-127885.52</v>
      </c>
      <c r="F53" s="39" t="n">
        <v>-133952.65</v>
      </c>
      <c r="G53" s="39" t="n">
        <v>-125857.62</v>
      </c>
      <c r="H53" s="39" t="n">
        <v>-132321.25</v>
      </c>
      <c r="I53" s="39" t="n">
        <v>-139057.81</v>
      </c>
      <c r="J53" s="39" t="n">
        <v>-139566.58</v>
      </c>
      <c r="K53" s="39" t="n">
        <v>-129219.84</v>
      </c>
      <c r="L53" s="39" t="n">
        <v>-136394.02</v>
      </c>
      <c r="M53" s="39" t="n">
        <v>-141131.81</v>
      </c>
      <c r="N53" s="39" t="n">
        <v>-132386.19</v>
      </c>
      <c r="O53" s="39" t="n">
        <v>-133063.54</v>
      </c>
      <c r="P53" s="39" t="n">
        <v>-140876.95</v>
      </c>
      <c r="Q53" s="39" t="n">
        <v>-140418.1</v>
      </c>
      <c r="R53" s="39" t="n">
        <v>-142320.37</v>
      </c>
      <c r="S53" s="39" t="n">
        <v>-148162.87</v>
      </c>
      <c r="T53" s="39" t="n">
        <v>-149796.97</v>
      </c>
      <c r="U53" s="39" t="n">
        <v>-145569.96</v>
      </c>
      <c r="V53" s="39" t="n">
        <v>-146096.3</v>
      </c>
      <c r="W53" s="39" t="n">
        <v>-142111.61</v>
      </c>
      <c r="X53" s="39" t="n">
        <v>-145783.98</v>
      </c>
      <c r="Y53" s="39" t="n">
        <v>-144567.45</v>
      </c>
      <c r="Z53" s="27">
        <f>IFERROR(-('Inputs'!$C$43 / 4 * $Z$65), 0)</f>
        <v/>
      </c>
      <c r="AA53" s="27">
        <f>IFERROR(-('Inputs'!$C$43 / 4 * $AA$65), 0)</f>
        <v/>
      </c>
      <c r="AB53" s="27">
        <f>IFERROR(-('Inputs'!$C$43 / 4 * $AB$65), 0)</f>
        <v/>
      </c>
      <c r="AC53" s="27">
        <f>IFERROR(-('Inputs'!$C$43 / 4 * $AC$65), 0)</f>
        <v/>
      </c>
      <c r="AD53" s="27">
        <f>IFERROR(-('Inputs'!$C$43 / 4 * $AD$65), 0)</f>
        <v/>
      </c>
      <c r="AE53" s="27">
        <f>IFERROR(-('Inputs'!$C$43 / 4 * $AE$65), 0)</f>
        <v/>
      </c>
      <c r="AF53" s="27">
        <f>IFERROR(-('Inputs'!$C$43 / 4 * $AF$65), 0)</f>
        <v/>
      </c>
      <c r="AG53" s="27">
        <f>IFERROR(-('Inputs'!$C$43 / 4 * $AG$65), 0)</f>
        <v/>
      </c>
      <c r="AH53" s="27">
        <f>IFERROR(-('Inputs'!$C$43 / 4 * $AH$65), 0)</f>
        <v/>
      </c>
      <c r="AI53" s="27">
        <f>IFERROR(-('Inputs'!$C$43 / 4 * $AI$65), 0)</f>
        <v/>
      </c>
    </row>
    <row r="54">
      <c r="B54" s="38" t="inlineStr">
        <is>
          <t>Total Operating Expenses (ex D&amp;A)</t>
        </is>
      </c>
      <c r="C54" s="28" t="n"/>
      <c r="D54" s="29">
        <f>$D$49 + $D$50 + $D$51 + $D$52 + $D$53</f>
        <v/>
      </c>
      <c r="E54" s="29">
        <f>$E$49 + $E$50 + $E$51 + $E$52 + $E$53</f>
        <v/>
      </c>
      <c r="F54" s="29">
        <f>$F$49 + $F$50 + $F$51 + $F$52 + $F$53</f>
        <v/>
      </c>
      <c r="G54" s="29">
        <f>$G$49 + $G$50 + $G$51 + $G$52 + $G$53</f>
        <v/>
      </c>
      <c r="H54" s="29">
        <f>$H$49 + $H$50 + $H$51 + $H$52 + $H$53</f>
        <v/>
      </c>
      <c r="I54" s="29">
        <f>$I$49 + $I$50 + $I$51 + $I$52 + $I$53</f>
        <v/>
      </c>
      <c r="J54" s="29">
        <f>$J$49 + $J$50 + $J$51 + $J$52 + $J$53</f>
        <v/>
      </c>
      <c r="K54" s="29">
        <f>$K$49 + $K$50 + $K$51 + $K$52 + $K$53</f>
        <v/>
      </c>
      <c r="L54" s="29">
        <f>$L$49 + $L$50 + $L$51 + $L$52 + $L$53</f>
        <v/>
      </c>
      <c r="M54" s="29">
        <f>$M$49 + $M$50 + $M$51 + $M$52 + $M$53</f>
        <v/>
      </c>
      <c r="N54" s="29">
        <f>$N$49 + $N$50 + $N$51 + $N$52 + $N$53</f>
        <v/>
      </c>
      <c r="O54" s="29">
        <f>$O$49 + $O$50 + $O$51 + $O$52 + $O$53</f>
        <v/>
      </c>
      <c r="P54" s="29">
        <f>$P$49 + $P$50 + $P$51 + $P$52 + $P$53</f>
        <v/>
      </c>
      <c r="Q54" s="29">
        <f>$Q$49 + $Q$50 + $Q$51 + $Q$52 + $Q$53</f>
        <v/>
      </c>
      <c r="R54" s="29">
        <f>$R$49 + $R$50 + $R$51 + $R$52 + $R$53</f>
        <v/>
      </c>
      <c r="S54" s="29">
        <f>$S$49 + $S$50 + $S$51 + $S$52 + $S$53</f>
        <v/>
      </c>
      <c r="T54" s="29">
        <f>$T$49 + $T$50 + $T$51 + $T$52 + $T$53</f>
        <v/>
      </c>
      <c r="U54" s="29">
        <f>$U$49 + $U$50 + $U$51 + $U$52 + $U$53</f>
        <v/>
      </c>
      <c r="V54" s="29">
        <f>$V$49 + $V$50 + $V$51 + $V$52 + $V$53</f>
        <v/>
      </c>
      <c r="W54" s="29">
        <f>$W$49 + $W$50 + $W$51 + $W$52 + $W$53</f>
        <v/>
      </c>
      <c r="X54" s="29">
        <f>$X$49 + $X$50 + $X$51 + $X$52 + $X$53</f>
        <v/>
      </c>
      <c r="Y54" s="29">
        <f>$Y$49 + $Y$50 + $Y$51 + $Y$52 + $Y$53</f>
        <v/>
      </c>
      <c r="Z54" s="29">
        <f>$Z$49 + $Z$50 + $Z$51 + $Z$52 + $Z$53</f>
        <v/>
      </c>
      <c r="AA54" s="29">
        <f>$AA$49 + $AA$50 + $AA$51 + $AA$52 + $AA$53</f>
        <v/>
      </c>
      <c r="AB54" s="29">
        <f>$AB$49 + $AB$50 + $AB$51 + $AB$52 + $AB$53</f>
        <v/>
      </c>
      <c r="AC54" s="29">
        <f>$AC$49 + $AC$50 + $AC$51 + $AC$52 + $AC$53</f>
        <v/>
      </c>
      <c r="AD54" s="29">
        <f>$AD$49 + $AD$50 + $AD$51 + $AD$52 + $AD$53</f>
        <v/>
      </c>
      <c r="AE54" s="29">
        <f>$AE$49 + $AE$50 + $AE$51 + $AE$52 + $AE$53</f>
        <v/>
      </c>
      <c r="AF54" s="29">
        <f>$AF$49 + $AF$50 + $AF$51 + $AF$52 + $AF$53</f>
        <v/>
      </c>
      <c r="AG54" s="29">
        <f>$AG$49 + $AG$50 + $AG$51 + $AG$52 + $AG$53</f>
        <v/>
      </c>
      <c r="AH54" s="29">
        <f>$AH$49 + $AH$50 + $AH$51 + $AH$52 + $AH$53</f>
        <v/>
      </c>
      <c r="AI54" s="29">
        <f>$AI$49 + $AI$50 + $AI$51 + $AI$52 + $AI$53</f>
        <v/>
      </c>
    </row>
    <row r="55" ht="6" customHeight="1"/>
    <row r="56">
      <c r="B56" s="38" t="inlineStr">
        <is>
          <t>EBITDA</t>
        </is>
      </c>
      <c r="C56" s="28" t="n"/>
      <c r="D56" s="29">
        <f>$D$46 + $D$54</f>
        <v/>
      </c>
      <c r="E56" s="29">
        <f>$E$46 + $E$54</f>
        <v/>
      </c>
      <c r="F56" s="29">
        <f>$F$46 + $F$54</f>
        <v/>
      </c>
      <c r="G56" s="29">
        <f>$G$46 + $G$54</f>
        <v/>
      </c>
      <c r="H56" s="29">
        <f>$H$46 + $H$54</f>
        <v/>
      </c>
      <c r="I56" s="29">
        <f>$I$46 + $I$54</f>
        <v/>
      </c>
      <c r="J56" s="29">
        <f>$J$46 + $J$54</f>
        <v/>
      </c>
      <c r="K56" s="29">
        <f>$K$46 + $K$54</f>
        <v/>
      </c>
      <c r="L56" s="29">
        <f>$L$46 + $L$54</f>
        <v/>
      </c>
      <c r="M56" s="29">
        <f>$M$46 + $M$54</f>
        <v/>
      </c>
      <c r="N56" s="29">
        <f>$N$46 + $N$54</f>
        <v/>
      </c>
      <c r="O56" s="29">
        <f>$O$46 + $O$54</f>
        <v/>
      </c>
      <c r="P56" s="29">
        <f>$P$46 + $P$54</f>
        <v/>
      </c>
      <c r="Q56" s="29">
        <f>$Q$46 + $Q$54</f>
        <v/>
      </c>
      <c r="R56" s="29">
        <f>$R$46 + $R$54</f>
        <v/>
      </c>
      <c r="S56" s="29">
        <f>$S$46 + $S$54</f>
        <v/>
      </c>
      <c r="T56" s="29">
        <f>$T$46 + $T$54</f>
        <v/>
      </c>
      <c r="U56" s="29">
        <f>$U$46 + $U$54</f>
        <v/>
      </c>
      <c r="V56" s="29">
        <f>$V$46 + $V$54</f>
        <v/>
      </c>
      <c r="W56" s="29">
        <f>$W$46 + $W$54</f>
        <v/>
      </c>
      <c r="X56" s="29">
        <f>$X$46 + $X$54</f>
        <v/>
      </c>
      <c r="Y56" s="29">
        <f>$Y$46 + $Y$54</f>
        <v/>
      </c>
      <c r="Z56" s="29">
        <f>$Z$46 + $Z$54</f>
        <v/>
      </c>
      <c r="AA56" s="29">
        <f>$AA$46 + $AA$54</f>
        <v/>
      </c>
      <c r="AB56" s="29">
        <f>$AB$46 + $AB$54</f>
        <v/>
      </c>
      <c r="AC56" s="29">
        <f>$AC$46 + $AC$54</f>
        <v/>
      </c>
      <c r="AD56" s="29">
        <f>$AD$46 + $AD$54</f>
        <v/>
      </c>
      <c r="AE56" s="29">
        <f>$AE$46 + $AE$54</f>
        <v/>
      </c>
      <c r="AF56" s="29">
        <f>$AF$46 + $AF$54</f>
        <v/>
      </c>
      <c r="AG56" s="29">
        <f>$AG$46 + $AG$54</f>
        <v/>
      </c>
      <c r="AH56" s="29">
        <f>$AH$46 + $AH$54</f>
        <v/>
      </c>
      <c r="AI56" s="29">
        <f>$AI$46 + $AI$54</f>
        <v/>
      </c>
    </row>
    <row r="57" ht="6" customHeight="1"/>
    <row r="58">
      <c r="B58" s="41" t="inlineStr">
        <is>
          <t>EBITDA Margin</t>
        </is>
      </c>
      <c r="C58" s="41" t="n"/>
      <c r="D58" s="32">
        <f>IFERROR($D$56 / $D$31, 0)</f>
        <v/>
      </c>
      <c r="E58" s="32">
        <f>IFERROR($E$56 / $E$31, 0)</f>
        <v/>
      </c>
      <c r="F58" s="32">
        <f>IFERROR($F$56 / $F$31, 0)</f>
        <v/>
      </c>
      <c r="G58" s="32">
        <f>IFERROR($G$56 / $G$31, 0)</f>
        <v/>
      </c>
      <c r="H58" s="32">
        <f>IFERROR($H$56 / $H$31, 0)</f>
        <v/>
      </c>
      <c r="I58" s="32">
        <f>IFERROR($I$56 / $I$31, 0)</f>
        <v/>
      </c>
      <c r="J58" s="32">
        <f>IFERROR($J$56 / $J$31, 0)</f>
        <v/>
      </c>
      <c r="K58" s="32">
        <f>IFERROR($K$56 / $K$31, 0)</f>
        <v/>
      </c>
      <c r="L58" s="32">
        <f>IFERROR($L$56 / $L$31, 0)</f>
        <v/>
      </c>
      <c r="M58" s="32">
        <f>IFERROR($M$56 / $M$31, 0)</f>
        <v/>
      </c>
      <c r="N58" s="32">
        <f>IFERROR($N$56 / $N$31, 0)</f>
        <v/>
      </c>
      <c r="O58" s="32">
        <f>IFERROR($O$56 / $O$31, 0)</f>
        <v/>
      </c>
      <c r="P58" s="32">
        <f>IFERROR($P$56 / $P$31, 0)</f>
        <v/>
      </c>
      <c r="Q58" s="32">
        <f>IFERROR($Q$56 / $Q$31, 0)</f>
        <v/>
      </c>
      <c r="R58" s="32">
        <f>IFERROR($R$56 / $R$31, 0)</f>
        <v/>
      </c>
      <c r="S58" s="32">
        <f>IFERROR($S$56 / $S$31, 0)</f>
        <v/>
      </c>
      <c r="T58" s="32">
        <f>IFERROR($T$56 / $T$31, 0)</f>
        <v/>
      </c>
      <c r="U58" s="32">
        <f>IFERROR($U$56 / $U$31, 0)</f>
        <v/>
      </c>
      <c r="V58" s="32">
        <f>IFERROR($V$56 / $V$31, 0)</f>
        <v/>
      </c>
      <c r="W58" s="32">
        <f>IFERROR($W$56 / $W$31, 0)</f>
        <v/>
      </c>
      <c r="X58" s="32">
        <f>IFERROR($X$56 / $X$31, 0)</f>
        <v/>
      </c>
      <c r="Y58" s="32">
        <f>IFERROR($Y$56 / $Y$31, 0)</f>
        <v/>
      </c>
      <c r="Z58" s="32">
        <f>IFERROR($Z$56 / $Z$31, 0)</f>
        <v/>
      </c>
      <c r="AA58" s="32">
        <f>IFERROR($AA$56 / $AA$31, 0)</f>
        <v/>
      </c>
      <c r="AB58" s="32">
        <f>IFERROR($AB$56 / $AB$31, 0)</f>
        <v/>
      </c>
      <c r="AC58" s="32">
        <f>IFERROR($AC$56 / $AC$31, 0)</f>
        <v/>
      </c>
      <c r="AD58" s="32">
        <f>IFERROR($AD$56 / $AD$31, 0)</f>
        <v/>
      </c>
      <c r="AE58" s="32">
        <f>IFERROR($AE$56 / $AE$31, 0)</f>
        <v/>
      </c>
      <c r="AF58" s="32">
        <f>IFERROR($AF$56 / $AF$31, 0)</f>
        <v/>
      </c>
      <c r="AG58" s="32">
        <f>IFERROR($AG$56 / $AG$31, 0)</f>
        <v/>
      </c>
      <c r="AH58" s="32">
        <f>IFERROR($AH$56 / $AH$31, 0)</f>
        <v/>
      </c>
      <c r="AI58" s="32">
        <f>IFERROR($AI$56 / $AI$31, 0)</f>
        <v/>
      </c>
    </row>
    <row r="59">
      <c r="B59" s="26" t="inlineStr">
        <is>
          <t>Depreciation</t>
        </is>
      </c>
      <c r="D59" s="39" t="n">
        <v>-17515.9</v>
      </c>
      <c r="E59" s="39" t="n">
        <v>-17377.25</v>
      </c>
      <c r="F59" s="39" t="n">
        <v>-16368.04</v>
      </c>
      <c r="G59" s="39" t="n">
        <v>-18042.06</v>
      </c>
      <c r="H59" s="39" t="n">
        <v>-15916.45</v>
      </c>
      <c r="I59" s="39" t="n">
        <v>-17188.6</v>
      </c>
      <c r="J59" s="39" t="n">
        <v>-18868.48</v>
      </c>
      <c r="K59" s="39" t="n">
        <v>-18511.93</v>
      </c>
      <c r="L59" s="39" t="n">
        <v>-17068.35</v>
      </c>
      <c r="M59" s="39" t="n">
        <v>-20347.68</v>
      </c>
      <c r="N59" s="39" t="n">
        <v>-18652.2</v>
      </c>
      <c r="O59" s="39" t="n">
        <v>-15980.62</v>
      </c>
      <c r="P59" s="39" t="n">
        <v>-18197.94</v>
      </c>
      <c r="Q59" s="39" t="n">
        <v>-16705.14</v>
      </c>
      <c r="R59" s="39" t="n">
        <v>-20392.03</v>
      </c>
      <c r="S59" s="39" t="n">
        <v>-15969.99</v>
      </c>
      <c r="T59" s="39" t="n">
        <v>-17713.25</v>
      </c>
      <c r="U59" s="39" t="n">
        <v>-15930.04</v>
      </c>
      <c r="V59" s="39" t="n">
        <v>-19021.9</v>
      </c>
      <c r="W59" s="39" t="n">
        <v>-18224.96</v>
      </c>
      <c r="X59" s="39" t="n">
        <v>-17911.19</v>
      </c>
      <c r="Y59" s="39" t="n">
        <v>-17517.34</v>
      </c>
      <c r="Z59" s="27">
        <f>IFERROR(-($Z$82 / ('Inputs'!$C$50 * 4)), 0)</f>
        <v/>
      </c>
      <c r="AA59" s="27">
        <f>IFERROR(-($AA$82 / ('Inputs'!$C$50 * 4)), 0)</f>
        <v/>
      </c>
      <c r="AB59" s="27">
        <f>IFERROR(-($AB$82 / ('Inputs'!$C$50 * 4)), 0)</f>
        <v/>
      </c>
      <c r="AC59" s="27">
        <f>IFERROR(-($AC$82 / ('Inputs'!$C$50 * 4)), 0)</f>
        <v/>
      </c>
      <c r="AD59" s="27">
        <f>IFERROR(-($AD$82 / ('Inputs'!$C$50 * 4)), 0)</f>
        <v/>
      </c>
      <c r="AE59" s="27">
        <f>IFERROR(-($AE$82 / ('Inputs'!$C$50 * 4)), 0)</f>
        <v/>
      </c>
      <c r="AF59" s="27">
        <f>IFERROR(-($AF$82 / ('Inputs'!$C$50 * 4)), 0)</f>
        <v/>
      </c>
      <c r="AG59" s="27">
        <f>IFERROR(-($AG$82 / ('Inputs'!$C$50 * 4)), 0)</f>
        <v/>
      </c>
      <c r="AH59" s="27">
        <f>IFERROR(-($AH$82 / ('Inputs'!$C$50 * 4)), 0)</f>
        <v/>
      </c>
      <c r="AI59" s="27">
        <f>IFERROR(-($AI$82 / ('Inputs'!$C$50 * 4)), 0)</f>
        <v/>
      </c>
    </row>
    <row r="60">
      <c r="B60" s="38" t="inlineStr">
        <is>
          <t>EBIT</t>
        </is>
      </c>
      <c r="C60" s="28" t="n"/>
      <c r="D60" s="29">
        <f>$D$56 + $D$59</f>
        <v/>
      </c>
      <c r="E60" s="29">
        <f>$E$56 + $E$59</f>
        <v/>
      </c>
      <c r="F60" s="29">
        <f>$F$56 + $F$59</f>
        <v/>
      </c>
      <c r="G60" s="29">
        <f>$G$56 + $G$59</f>
        <v/>
      </c>
      <c r="H60" s="29">
        <f>$H$56 + $H$59</f>
        <v/>
      </c>
      <c r="I60" s="29">
        <f>$I$56 + $I$59</f>
        <v/>
      </c>
      <c r="J60" s="29">
        <f>$J$56 + $J$59</f>
        <v/>
      </c>
      <c r="K60" s="29">
        <f>$K$56 + $K$59</f>
        <v/>
      </c>
      <c r="L60" s="29">
        <f>$L$56 + $L$59</f>
        <v/>
      </c>
      <c r="M60" s="29">
        <f>$M$56 + $M$59</f>
        <v/>
      </c>
      <c r="N60" s="29">
        <f>$N$56 + $N$59</f>
        <v/>
      </c>
      <c r="O60" s="29">
        <f>$O$56 + $O$59</f>
        <v/>
      </c>
      <c r="P60" s="29">
        <f>$P$56 + $P$59</f>
        <v/>
      </c>
      <c r="Q60" s="29">
        <f>$Q$56 + $Q$59</f>
        <v/>
      </c>
      <c r="R60" s="29">
        <f>$R$56 + $R$59</f>
        <v/>
      </c>
      <c r="S60" s="29">
        <f>$S$56 + $S$59</f>
        <v/>
      </c>
      <c r="T60" s="29">
        <f>$T$56 + $T$59</f>
        <v/>
      </c>
      <c r="U60" s="29">
        <f>$U$56 + $U$59</f>
        <v/>
      </c>
      <c r="V60" s="29">
        <f>$V$56 + $V$59</f>
        <v/>
      </c>
      <c r="W60" s="29">
        <f>$W$56 + $W$59</f>
        <v/>
      </c>
      <c r="X60" s="29">
        <f>$X$56 + $X$59</f>
        <v/>
      </c>
      <c r="Y60" s="29">
        <f>$Y$56 + $Y$59</f>
        <v/>
      </c>
      <c r="Z60" s="29">
        <f>$Z$56 + $Z$59</f>
        <v/>
      </c>
      <c r="AA60" s="29">
        <f>$AA$56 + $AA$59</f>
        <v/>
      </c>
      <c r="AB60" s="29">
        <f>$AB$56 + $AB$59</f>
        <v/>
      </c>
      <c r="AC60" s="29">
        <f>$AC$56 + $AC$59</f>
        <v/>
      </c>
      <c r="AD60" s="29">
        <f>$AD$56 + $AD$59</f>
        <v/>
      </c>
      <c r="AE60" s="29">
        <f>$AE$56 + $AE$59</f>
        <v/>
      </c>
      <c r="AF60" s="29">
        <f>$AF$56 + $AF$59</f>
        <v/>
      </c>
      <c r="AG60" s="29">
        <f>$AG$56 + $AG$59</f>
        <v/>
      </c>
      <c r="AH60" s="29">
        <f>$AH$56 + $AH$59</f>
        <v/>
      </c>
      <c r="AI60" s="29">
        <f>$AI$56 + $AI$59</f>
        <v/>
      </c>
    </row>
    <row r="61" ht="6" customHeight="1"/>
    <row r="62">
      <c r="B62" s="35" t="inlineStr">
        <is>
          <t>Net Income</t>
        </is>
      </c>
      <c r="C62" s="35" t="inlineStr">
        <is>
          <t>Acme Corp is an LLC (pass-through): no entity-level income tax modelled; no debt/interest in the data room.</t>
        </is>
      </c>
      <c r="D62" s="36">
        <f>$D$60</f>
        <v/>
      </c>
      <c r="E62" s="36">
        <f>$E$60</f>
        <v/>
      </c>
      <c r="F62" s="36">
        <f>$F$60</f>
        <v/>
      </c>
      <c r="G62" s="36">
        <f>$G$60</f>
        <v/>
      </c>
      <c r="H62" s="36">
        <f>$H$60</f>
        <v/>
      </c>
      <c r="I62" s="36">
        <f>$I$60</f>
        <v/>
      </c>
      <c r="J62" s="36">
        <f>$J$60</f>
        <v/>
      </c>
      <c r="K62" s="36">
        <f>$K$60</f>
        <v/>
      </c>
      <c r="L62" s="36">
        <f>$L$60</f>
        <v/>
      </c>
      <c r="M62" s="36">
        <f>$M$60</f>
        <v/>
      </c>
      <c r="N62" s="36">
        <f>$N$60</f>
        <v/>
      </c>
      <c r="O62" s="36">
        <f>$O$60</f>
        <v/>
      </c>
      <c r="P62" s="36">
        <f>$P$60</f>
        <v/>
      </c>
      <c r="Q62" s="36">
        <f>$Q$60</f>
        <v/>
      </c>
      <c r="R62" s="36">
        <f>$R$60</f>
        <v/>
      </c>
      <c r="S62" s="36">
        <f>$S$60</f>
        <v/>
      </c>
      <c r="T62" s="36">
        <f>$T$60</f>
        <v/>
      </c>
      <c r="U62" s="36">
        <f>$U$60</f>
        <v/>
      </c>
      <c r="V62" s="36">
        <f>$V$60</f>
        <v/>
      </c>
      <c r="W62" s="36">
        <f>$W$60</f>
        <v/>
      </c>
      <c r="X62" s="36">
        <f>$X$60</f>
        <v/>
      </c>
      <c r="Y62" s="36">
        <f>$Y$60</f>
        <v/>
      </c>
      <c r="Z62" s="36">
        <f>$Z$60</f>
        <v/>
      </c>
      <c r="AA62" s="36">
        <f>$AA$60</f>
        <v/>
      </c>
      <c r="AB62" s="36">
        <f>$AB$60</f>
        <v/>
      </c>
      <c r="AC62" s="36">
        <f>$AC$60</f>
        <v/>
      </c>
      <c r="AD62" s="36">
        <f>$AD$60</f>
        <v/>
      </c>
      <c r="AE62" s="36">
        <f>$AE$60</f>
        <v/>
      </c>
      <c r="AF62" s="36">
        <f>$AF$60</f>
        <v/>
      </c>
      <c r="AG62" s="36">
        <f>$AG$60</f>
        <v/>
      </c>
      <c r="AH62" s="36">
        <f>$AH$60</f>
        <v/>
      </c>
      <c r="AI62" s="36">
        <f>$AI$60</f>
        <v/>
      </c>
    </row>
    <row r="63" ht="6" customHeight="1"/>
    <row r="64">
      <c r="B64" s="41" t="inlineStr">
        <is>
          <t>Net Margin</t>
        </is>
      </c>
      <c r="C64" s="41" t="n"/>
      <c r="D64" s="32">
        <f>IFERROR($D$62 / $D$31, 0)</f>
        <v/>
      </c>
      <c r="E64" s="32">
        <f>IFERROR($E$62 / $E$31, 0)</f>
        <v/>
      </c>
      <c r="F64" s="32">
        <f>IFERROR($F$62 / $F$31, 0)</f>
        <v/>
      </c>
      <c r="G64" s="32">
        <f>IFERROR($G$62 / $G$31, 0)</f>
        <v/>
      </c>
      <c r="H64" s="32">
        <f>IFERROR($H$62 / $H$31, 0)</f>
        <v/>
      </c>
      <c r="I64" s="32">
        <f>IFERROR($I$62 / $I$31, 0)</f>
        <v/>
      </c>
      <c r="J64" s="32">
        <f>IFERROR($J$62 / $J$31, 0)</f>
        <v/>
      </c>
      <c r="K64" s="32">
        <f>IFERROR($K$62 / $K$31, 0)</f>
        <v/>
      </c>
      <c r="L64" s="32">
        <f>IFERROR($L$62 / $L$31, 0)</f>
        <v/>
      </c>
      <c r="M64" s="32">
        <f>IFERROR($M$62 / $M$31, 0)</f>
        <v/>
      </c>
      <c r="N64" s="32">
        <f>IFERROR($N$62 / $N$31, 0)</f>
        <v/>
      </c>
      <c r="O64" s="32">
        <f>IFERROR($O$62 / $O$31, 0)</f>
        <v/>
      </c>
      <c r="P64" s="32">
        <f>IFERROR($P$62 / $P$31, 0)</f>
        <v/>
      </c>
      <c r="Q64" s="32">
        <f>IFERROR($Q$62 / $Q$31, 0)</f>
        <v/>
      </c>
      <c r="R64" s="32">
        <f>IFERROR($R$62 / $R$31, 0)</f>
        <v/>
      </c>
      <c r="S64" s="32">
        <f>IFERROR($S$62 / $S$31, 0)</f>
        <v/>
      </c>
      <c r="T64" s="32">
        <f>IFERROR($T$62 / $T$31, 0)</f>
        <v/>
      </c>
      <c r="U64" s="32">
        <f>IFERROR($U$62 / $U$31, 0)</f>
        <v/>
      </c>
      <c r="V64" s="32">
        <f>IFERROR($V$62 / $V$31, 0)</f>
        <v/>
      </c>
      <c r="W64" s="32">
        <f>IFERROR($W$62 / $W$31, 0)</f>
        <v/>
      </c>
      <c r="X64" s="32">
        <f>IFERROR($X$62 / $X$31, 0)</f>
        <v/>
      </c>
      <c r="Y64" s="32">
        <f>IFERROR($Y$62 / $Y$31, 0)</f>
        <v/>
      </c>
      <c r="Z64" s="32">
        <f>IFERROR($Z$62 / $Z$31, 0)</f>
        <v/>
      </c>
      <c r="AA64" s="32">
        <f>IFERROR($AA$62 / $AA$31, 0)</f>
        <v/>
      </c>
      <c r="AB64" s="32">
        <f>IFERROR($AB$62 / $AB$31, 0)</f>
        <v/>
      </c>
      <c r="AC64" s="32">
        <f>IFERROR($AC$62 / $AC$31, 0)</f>
        <v/>
      </c>
      <c r="AD64" s="32">
        <f>IFERROR($AD$62 / $AD$31, 0)</f>
        <v/>
      </c>
      <c r="AE64" s="32">
        <f>IFERROR($AE$62 / $AE$31, 0)</f>
        <v/>
      </c>
      <c r="AF64" s="32">
        <f>IFERROR($AF$62 / $AF$31, 0)</f>
        <v/>
      </c>
      <c r="AG64" s="32">
        <f>IFERROR($AG$62 / $AG$31, 0)</f>
        <v/>
      </c>
      <c r="AH64" s="32">
        <f>IFERROR($AH$62 / $AH$31, 0)</f>
        <v/>
      </c>
      <c r="AI64" s="32">
        <f>IFERROR($AI$62 / $AI$31, 0)</f>
        <v/>
      </c>
    </row>
    <row r="65">
      <c r="B65" s="41" t="inlineStr">
        <is>
          <t>Fixed Opex Inflation Index</t>
        </is>
      </c>
      <c r="C65" s="41" t="n"/>
      <c r="Z65" s="42">
        <f>'Inputs'!$C$45 * (1 + 'Inputs'!$C$44)</f>
        <v/>
      </c>
      <c r="AA65" s="42">
        <f>$Z$65 * (1 + 'Inputs'!$C$44)</f>
        <v/>
      </c>
      <c r="AB65" s="42">
        <f>$AA$65 * (1 + 'Inputs'!$C$44)</f>
        <v/>
      </c>
      <c r="AC65" s="42">
        <f>$AB$65 * (1 + 'Inputs'!$C$44)</f>
        <v/>
      </c>
      <c r="AD65" s="42">
        <f>$AC$65 * (1 + 'Inputs'!$C$44)</f>
        <v/>
      </c>
      <c r="AE65" s="42">
        <f>$AD$65 * (1 + 'Inputs'!$C$44)</f>
        <v/>
      </c>
      <c r="AF65" s="42">
        <f>$AE$65 * (1 + 'Inputs'!$C$44)</f>
        <v/>
      </c>
      <c r="AG65" s="42">
        <f>$AF$65 * (1 + 'Inputs'!$C$44)</f>
        <v/>
      </c>
      <c r="AH65" s="42">
        <f>$AG$65 * (1 + 'Inputs'!$C$44)</f>
        <v/>
      </c>
      <c r="AI65" s="42">
        <f>$AH$65 * (1 + 'Inputs'!$C$44)</f>
        <v/>
      </c>
    </row>
    <row r="66" ht="6" customHeight="1">
      <c r="B66" s="30" t="n"/>
      <c r="C66" s="30" t="n"/>
      <c r="D66" s="30" t="n"/>
      <c r="E66" s="30" t="n"/>
      <c r="F66" s="30" t="n"/>
      <c r="G66" s="3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  <c r="AB66" s="30" t="n"/>
      <c r="AC66" s="30" t="n"/>
      <c r="AD66" s="30" t="n"/>
      <c r="AE66" s="30" t="n"/>
      <c r="AF66" s="30" t="n"/>
      <c r="AG66" s="30" t="n"/>
      <c r="AH66" s="30" t="n"/>
      <c r="AI66" s="30" t="n"/>
    </row>
    <row r="67" ht="20" customHeight="1">
      <c r="B67" s="3" t="inlineStr">
        <is>
          <t>Cash Flow</t>
        </is>
      </c>
      <c r="C67" s="10" t="n"/>
      <c r="D67" s="10" t="n"/>
      <c r="E67" s="10" t="n"/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  <c r="S67" s="10" t="n"/>
      <c r="T67" s="10" t="n"/>
      <c r="U67" s="10" t="n"/>
      <c r="V67" s="10" t="n"/>
      <c r="W67" s="10" t="n"/>
      <c r="X67" s="10" t="n"/>
      <c r="Y67" s="10" t="n"/>
      <c r="Z67" s="10" t="n"/>
      <c r="AA67" s="10" t="n"/>
      <c r="AB67" s="10" t="n"/>
      <c r="AC67" s="10" t="n"/>
      <c r="AD67" s="10" t="n"/>
      <c r="AE67" s="10" t="n"/>
      <c r="AF67" s="10" t="n"/>
      <c r="AG67" s="10" t="n"/>
      <c r="AH67" s="10" t="n"/>
      <c r="AI67" s="10" t="n"/>
    </row>
    <row r="68">
      <c r="B68" s="26" t="inlineStr">
        <is>
          <t>(Increase) / Decrease in AR</t>
        </is>
      </c>
      <c r="Z68" s="27">
        <f>-($Z$81 - 'Inputs'!$C$57)</f>
        <v/>
      </c>
      <c r="AA68" s="27">
        <f>-($AA$81 - $Z$81)</f>
        <v/>
      </c>
      <c r="AB68" s="27">
        <f>-($AB$81 - $AA$81)</f>
        <v/>
      </c>
      <c r="AC68" s="27">
        <f>-($AC$81 - $AB$81)</f>
        <v/>
      </c>
      <c r="AD68" s="27">
        <f>-($AD$81 - $AC$81)</f>
        <v/>
      </c>
      <c r="AE68" s="27">
        <f>-($AE$81 - $AD$81)</f>
        <v/>
      </c>
      <c r="AF68" s="27">
        <f>-($AF$81 - $AE$81)</f>
        <v/>
      </c>
      <c r="AG68" s="27">
        <f>-($AG$81 - $AF$81)</f>
        <v/>
      </c>
      <c r="AH68" s="27">
        <f>-($AH$81 - $AG$81)</f>
        <v/>
      </c>
      <c r="AI68" s="27">
        <f>-($AI$81 - $AH$81)</f>
        <v/>
      </c>
    </row>
    <row r="69">
      <c r="B69" s="26" t="inlineStr">
        <is>
          <t>Increase / (Decrease) in AP</t>
        </is>
      </c>
      <c r="Z69" s="27">
        <f>$Z$86 - 'Inputs'!$C$58</f>
        <v/>
      </c>
      <c r="AA69" s="27">
        <f>$AA$86 - $Z$86</f>
        <v/>
      </c>
      <c r="AB69" s="27">
        <f>$AB$86 - $AA$86</f>
        <v/>
      </c>
      <c r="AC69" s="27">
        <f>$AC$86 - $AB$86</f>
        <v/>
      </c>
      <c r="AD69" s="27">
        <f>$AD$86 - $AC$86</f>
        <v/>
      </c>
      <c r="AE69" s="27">
        <f>$AE$86 - $AD$86</f>
        <v/>
      </c>
      <c r="AF69" s="27">
        <f>$AF$86 - $AE$86</f>
        <v/>
      </c>
      <c r="AG69" s="27">
        <f>$AG$86 - $AF$86</f>
        <v/>
      </c>
      <c r="AH69" s="27">
        <f>$AH$86 - $AG$86</f>
        <v/>
      </c>
      <c r="AI69" s="27">
        <f>$AI$86 - $AH$86</f>
        <v/>
      </c>
    </row>
    <row r="70">
      <c r="B70" s="38" t="inlineStr">
        <is>
          <t>Change in Net Working Capital</t>
        </is>
      </c>
      <c r="C70" s="28" t="n"/>
      <c r="D70" s="28" t="n"/>
      <c r="E70" s="28" t="n"/>
      <c r="F70" s="28" t="n"/>
      <c r="G70" s="28" t="n"/>
      <c r="H70" s="28" t="n"/>
      <c r="I70" s="28" t="n"/>
      <c r="J70" s="28" t="n"/>
      <c r="K70" s="28" t="n"/>
      <c r="L70" s="28" t="n"/>
      <c r="M70" s="28" t="n"/>
      <c r="N70" s="28" t="n"/>
      <c r="O70" s="28" t="n"/>
      <c r="P70" s="28" t="n"/>
      <c r="Q70" s="28" t="n"/>
      <c r="R70" s="28" t="n"/>
      <c r="S70" s="28" t="n"/>
      <c r="T70" s="28" t="n"/>
      <c r="U70" s="28" t="n"/>
      <c r="V70" s="28" t="n"/>
      <c r="W70" s="28" t="n"/>
      <c r="X70" s="28" t="n"/>
      <c r="Y70" s="28" t="n"/>
      <c r="Z70" s="29">
        <f>$Z$68 + $Z$69</f>
        <v/>
      </c>
      <c r="AA70" s="29">
        <f>$AA$68 + $AA$69</f>
        <v/>
      </c>
      <c r="AB70" s="29">
        <f>$AB$68 + $AB$69</f>
        <v/>
      </c>
      <c r="AC70" s="29">
        <f>$AC$68 + $AC$69</f>
        <v/>
      </c>
      <c r="AD70" s="29">
        <f>$AD$68 + $AD$69</f>
        <v/>
      </c>
      <c r="AE70" s="29">
        <f>$AE$68 + $AE$69</f>
        <v/>
      </c>
      <c r="AF70" s="29">
        <f>$AF$68 + $AF$69</f>
        <v/>
      </c>
      <c r="AG70" s="29">
        <f>$AG$68 + $AG$69</f>
        <v/>
      </c>
      <c r="AH70" s="29">
        <f>$AH$68 + $AH$69</f>
        <v/>
      </c>
      <c r="AI70" s="29">
        <f>$AI$68 + $AI$69</f>
        <v/>
      </c>
    </row>
    <row r="71" ht="6" customHeight="1"/>
    <row r="72">
      <c r="B72" s="38" t="inlineStr">
        <is>
          <t>Cash from Operations</t>
        </is>
      </c>
      <c r="C72" s="28" t="n"/>
      <c r="D72" s="28" t="n"/>
      <c r="E72" s="28" t="n"/>
      <c r="F72" s="28" t="n"/>
      <c r="G72" s="28" t="n"/>
      <c r="H72" s="28" t="n"/>
      <c r="I72" s="28" t="n"/>
      <c r="J72" s="28" t="n"/>
      <c r="K72" s="28" t="n"/>
      <c r="L72" s="28" t="n"/>
      <c r="M72" s="28" t="n"/>
      <c r="N72" s="28" t="n"/>
      <c r="O72" s="28" t="n"/>
      <c r="P72" s="28" t="n"/>
      <c r="Q72" s="28" t="n"/>
      <c r="R72" s="28" t="n"/>
      <c r="S72" s="28" t="n"/>
      <c r="T72" s="28" t="n"/>
      <c r="U72" s="28" t="n"/>
      <c r="V72" s="28" t="n"/>
      <c r="W72" s="28" t="n"/>
      <c r="X72" s="28" t="n"/>
      <c r="Y72" s="28" t="n"/>
      <c r="Z72" s="29">
        <f>$Z$62 - $Z$59 + $Z$70</f>
        <v/>
      </c>
      <c r="AA72" s="29">
        <f>$AA$62 - $AA$59 + $AA$70</f>
        <v/>
      </c>
      <c r="AB72" s="29">
        <f>$AB$62 - $AB$59 + $AB$70</f>
        <v/>
      </c>
      <c r="AC72" s="29">
        <f>$AC$62 - $AC$59 + $AC$70</f>
        <v/>
      </c>
      <c r="AD72" s="29">
        <f>$AD$62 - $AD$59 + $AD$70</f>
        <v/>
      </c>
      <c r="AE72" s="29">
        <f>$AE$62 - $AE$59 + $AE$70</f>
        <v/>
      </c>
      <c r="AF72" s="29">
        <f>$AF$62 - $AF$59 + $AF$70</f>
        <v/>
      </c>
      <c r="AG72" s="29">
        <f>$AG$62 - $AG$59 + $AG$70</f>
        <v/>
      </c>
      <c r="AH72" s="29">
        <f>$AH$62 - $AH$59 + $AH$70</f>
        <v/>
      </c>
      <c r="AI72" s="29">
        <f>$AI$62 - $AI$59 + $AI$70</f>
        <v/>
      </c>
    </row>
    <row r="73" ht="6" customHeight="1"/>
    <row r="74">
      <c r="B74" s="26" t="inlineStr">
        <is>
          <t>Capital Expenditures</t>
        </is>
      </c>
      <c r="Z74" s="27">
        <f>IFERROR(-('Inputs'!$C$49 / 4), 0)</f>
        <v/>
      </c>
      <c r="AA74" s="27">
        <f>IFERROR(-('Inputs'!$C$49 / 4), 0)</f>
        <v/>
      </c>
      <c r="AB74" s="27">
        <f>IFERROR(-('Inputs'!$C$49 / 4), 0)</f>
        <v/>
      </c>
      <c r="AC74" s="27">
        <f>IFERROR(-('Inputs'!$C$49 / 4), 0)</f>
        <v/>
      </c>
      <c r="AD74" s="27">
        <f>IFERROR(-('Inputs'!$C$49 / 4), 0)</f>
        <v/>
      </c>
      <c r="AE74" s="27">
        <f>IFERROR(-('Inputs'!$C$49 / 4), 0)</f>
        <v/>
      </c>
      <c r="AF74" s="27">
        <f>IFERROR(-('Inputs'!$C$49 / 4), 0)</f>
        <v/>
      </c>
      <c r="AG74" s="27">
        <f>IFERROR(-('Inputs'!$C$49 / 4), 0)</f>
        <v/>
      </c>
      <c r="AH74" s="27">
        <f>IFERROR(-('Inputs'!$C$49 / 4), 0)</f>
        <v/>
      </c>
      <c r="AI74" s="27">
        <f>IFERROR(-('Inputs'!$C$49 / 4), 0)</f>
        <v/>
      </c>
    </row>
    <row r="75">
      <c r="B75" s="28" t="inlineStr">
        <is>
          <t>Free Cash Flow</t>
        </is>
      </c>
      <c r="C75" s="28" t="n"/>
      <c r="D75" s="28" t="n"/>
      <c r="E75" s="28" t="n"/>
      <c r="F75" s="28" t="n"/>
      <c r="G75" s="28" t="n"/>
      <c r="H75" s="28" t="n"/>
      <c r="I75" s="28" t="n"/>
      <c r="J75" s="28" t="n"/>
      <c r="K75" s="28" t="n"/>
      <c r="L75" s="28" t="n"/>
      <c r="M75" s="28" t="n"/>
      <c r="N75" s="28" t="n"/>
      <c r="O75" s="28" t="n"/>
      <c r="P75" s="28" t="n"/>
      <c r="Q75" s="28" t="n"/>
      <c r="R75" s="28" t="n"/>
      <c r="S75" s="28" t="n"/>
      <c r="T75" s="28" t="n"/>
      <c r="U75" s="28" t="n"/>
      <c r="V75" s="28" t="n"/>
      <c r="W75" s="28" t="n"/>
      <c r="X75" s="28" t="n"/>
      <c r="Y75" s="28" t="n"/>
      <c r="Z75" s="29">
        <f>$Z$72 + $Z$74</f>
        <v/>
      </c>
      <c r="AA75" s="29">
        <f>$AA$72 + $AA$74</f>
        <v/>
      </c>
      <c r="AB75" s="29">
        <f>$AB$72 + $AB$74</f>
        <v/>
      </c>
      <c r="AC75" s="29">
        <f>$AC$72 + $AC$74</f>
        <v/>
      </c>
      <c r="AD75" s="29">
        <f>$AD$72 + $AD$74</f>
        <v/>
      </c>
      <c r="AE75" s="29">
        <f>$AE$72 + $AE$74</f>
        <v/>
      </c>
      <c r="AF75" s="29">
        <f>$AF$72 + $AF$74</f>
        <v/>
      </c>
      <c r="AG75" s="29">
        <f>$AG$72 + $AG$74</f>
        <v/>
      </c>
      <c r="AH75" s="29">
        <f>$AH$72 + $AH$74</f>
        <v/>
      </c>
      <c r="AI75" s="29">
        <f>$AI$72 + $AI$74</f>
        <v/>
      </c>
    </row>
    <row r="76" ht="6" customHeight="1"/>
    <row r="77">
      <c r="B77" s="26" t="inlineStr">
        <is>
          <t>Beginning Cash</t>
        </is>
      </c>
      <c r="Z77" s="27">
        <f>'Inputs'!$C$56</f>
        <v/>
      </c>
      <c r="AA77" s="27">
        <f>$Z$78</f>
        <v/>
      </c>
      <c r="AB77" s="27">
        <f>$AA$78</f>
        <v/>
      </c>
      <c r="AC77" s="27">
        <f>$AB$78</f>
        <v/>
      </c>
      <c r="AD77" s="27">
        <f>$AC$78</f>
        <v/>
      </c>
      <c r="AE77" s="27">
        <f>$AD$78</f>
        <v/>
      </c>
      <c r="AF77" s="27">
        <f>$AE$78</f>
        <v/>
      </c>
      <c r="AG77" s="27">
        <f>$AF$78</f>
        <v/>
      </c>
      <c r="AH77" s="27">
        <f>$AG$78</f>
        <v/>
      </c>
      <c r="AI77" s="27">
        <f>$AH$78</f>
        <v/>
      </c>
    </row>
    <row r="78">
      <c r="B78" s="35" t="inlineStr">
        <is>
          <t>Ending Cash</t>
        </is>
      </c>
      <c r="C78" s="35" t="n"/>
      <c r="D78" s="35" t="n"/>
      <c r="E78" s="35" t="n"/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  <c r="S78" s="35" t="n"/>
      <c r="T78" s="35" t="n"/>
      <c r="U78" s="35" t="n"/>
      <c r="V78" s="35" t="n"/>
      <c r="W78" s="35" t="n"/>
      <c r="X78" s="35" t="n"/>
      <c r="Y78" s="35" t="n"/>
      <c r="Z78" s="36">
        <f>$Z$77 + $Z$75</f>
        <v/>
      </c>
      <c r="AA78" s="36">
        <f>$AA$77 + $AA$75</f>
        <v/>
      </c>
      <c r="AB78" s="36">
        <f>$AB$77 + $AB$75</f>
        <v/>
      </c>
      <c r="AC78" s="36">
        <f>$AC$77 + $AC$75</f>
        <v/>
      </c>
      <c r="AD78" s="36">
        <f>$AD$77 + $AD$75</f>
        <v/>
      </c>
      <c r="AE78" s="36">
        <f>$AE$77 + $AE$75</f>
        <v/>
      </c>
      <c r="AF78" s="36">
        <f>$AF$77 + $AF$75</f>
        <v/>
      </c>
      <c r="AG78" s="36">
        <f>$AG$77 + $AG$75</f>
        <v/>
      </c>
      <c r="AH78" s="36">
        <f>$AH$77 + $AH$75</f>
        <v/>
      </c>
      <c r="AI78" s="36">
        <f>$AI$77 + $AI$75</f>
        <v/>
      </c>
    </row>
    <row r="79" ht="6" customHeight="1"/>
    <row r="80" ht="20" customHeight="1">
      <c r="B80" s="3" t="inlineStr">
        <is>
          <t>Balance Sheet</t>
        </is>
      </c>
      <c r="C80" s="10" t="n"/>
      <c r="D80" s="10" t="n"/>
      <c r="E80" s="10" t="n"/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</row>
    <row r="81">
      <c r="B81" s="26" t="inlineStr">
        <is>
          <t>Accounts Receivable</t>
        </is>
      </c>
      <c r="Z81" s="27">
        <f>IFERROR($Z$31 * 'Inputs'!$C$51 / 91.25, 0)</f>
        <v/>
      </c>
      <c r="AA81" s="27">
        <f>IFERROR($AA$31 * 'Inputs'!$C$51 / 91.25, 0)</f>
        <v/>
      </c>
      <c r="AB81" s="27">
        <f>IFERROR($AB$31 * 'Inputs'!$C$51 / 91.25, 0)</f>
        <v/>
      </c>
      <c r="AC81" s="27">
        <f>IFERROR($AC$31 * 'Inputs'!$C$51 / 91.25, 0)</f>
        <v/>
      </c>
      <c r="AD81" s="27">
        <f>IFERROR($AD$31 * 'Inputs'!$C$51 / 91.25, 0)</f>
        <v/>
      </c>
      <c r="AE81" s="27">
        <f>IFERROR($AE$31 * 'Inputs'!$C$51 / 91.25, 0)</f>
        <v/>
      </c>
      <c r="AF81" s="27">
        <f>IFERROR($AF$31 * 'Inputs'!$C$51 / 91.25, 0)</f>
        <v/>
      </c>
      <c r="AG81" s="27">
        <f>IFERROR($AG$31 * 'Inputs'!$C$51 / 91.25, 0)</f>
        <v/>
      </c>
      <c r="AH81" s="27">
        <f>IFERROR($AH$31 * 'Inputs'!$C$51 / 91.25, 0)</f>
        <v/>
      </c>
      <c r="AI81" s="27">
        <f>IFERROR($AI$31 * 'Inputs'!$C$51 / 91.25, 0)</f>
        <v/>
      </c>
    </row>
    <row r="82">
      <c r="B82" s="26" t="inlineStr">
        <is>
          <t>Beginning PP&amp;E</t>
        </is>
      </c>
      <c r="Z82" s="27">
        <f>'Inputs'!$C$59</f>
        <v/>
      </c>
      <c r="AA82" s="27">
        <f>$Z$83</f>
        <v/>
      </c>
      <c r="AB82" s="27">
        <f>$AA$83</f>
        <v/>
      </c>
      <c r="AC82" s="27">
        <f>$AB$83</f>
        <v/>
      </c>
      <c r="AD82" s="27">
        <f>$AC$83</f>
        <v/>
      </c>
      <c r="AE82" s="27">
        <f>$AD$83</f>
        <v/>
      </c>
      <c r="AF82" s="27">
        <f>$AE$83</f>
        <v/>
      </c>
      <c r="AG82" s="27">
        <f>$AF$83</f>
        <v/>
      </c>
      <c r="AH82" s="27">
        <f>$AG$83</f>
        <v/>
      </c>
      <c r="AI82" s="27">
        <f>$AH$83</f>
        <v/>
      </c>
    </row>
    <row r="83">
      <c r="B83" s="26" t="inlineStr">
        <is>
          <t>Ending PP&amp;E</t>
        </is>
      </c>
      <c r="Z83" s="27">
        <f>$Z$82 - $Z$74 + $Z$59</f>
        <v/>
      </c>
      <c r="AA83" s="27">
        <f>$AA$82 - $AA$74 + $AA$59</f>
        <v/>
      </c>
      <c r="AB83" s="27">
        <f>$AB$82 - $AB$74 + $AB$59</f>
        <v/>
      </c>
      <c r="AC83" s="27">
        <f>$AC$82 - $AC$74 + $AC$59</f>
        <v/>
      </c>
      <c r="AD83" s="27">
        <f>$AD$82 - $AD$74 + $AD$59</f>
        <v/>
      </c>
      <c r="AE83" s="27">
        <f>$AE$82 - $AE$74 + $AE$59</f>
        <v/>
      </c>
      <c r="AF83" s="27">
        <f>$AF$82 - $AF$74 + $AF$59</f>
        <v/>
      </c>
      <c r="AG83" s="27">
        <f>$AG$82 - $AG$74 + $AG$59</f>
        <v/>
      </c>
      <c r="AH83" s="27">
        <f>$AH$82 - $AH$74 + $AH$59</f>
        <v/>
      </c>
      <c r="AI83" s="27">
        <f>$AI$82 - $AI$74 + $AI$59</f>
        <v/>
      </c>
    </row>
    <row r="84">
      <c r="B84" s="38" t="inlineStr">
        <is>
          <t>Total Assets</t>
        </is>
      </c>
      <c r="C84" s="28" t="n"/>
      <c r="D84" s="28" t="n"/>
      <c r="E84" s="28" t="n"/>
      <c r="F84" s="28" t="n"/>
      <c r="G84" s="28" t="n"/>
      <c r="H84" s="28" t="n"/>
      <c r="I84" s="28" t="n"/>
      <c r="J84" s="28" t="n"/>
      <c r="K84" s="28" t="n"/>
      <c r="L84" s="28" t="n"/>
      <c r="M84" s="28" t="n"/>
      <c r="N84" s="28" t="n"/>
      <c r="O84" s="28" t="n"/>
      <c r="P84" s="28" t="n"/>
      <c r="Q84" s="28" t="n"/>
      <c r="R84" s="28" t="n"/>
      <c r="S84" s="28" t="n"/>
      <c r="T84" s="28" t="n"/>
      <c r="U84" s="28" t="n"/>
      <c r="V84" s="28" t="n"/>
      <c r="W84" s="28" t="n"/>
      <c r="X84" s="28" t="n"/>
      <c r="Y84" s="28" t="n"/>
      <c r="Z84" s="29">
        <f>$Z$78 + $Z$81 + $Z$83</f>
        <v/>
      </c>
      <c r="AA84" s="29">
        <f>$AA$78 + $AA$81 + $AA$83</f>
        <v/>
      </c>
      <c r="AB84" s="29">
        <f>$AB$78 + $AB$81 + $AB$83</f>
        <v/>
      </c>
      <c r="AC84" s="29">
        <f>$AC$78 + $AC$81 + $AC$83</f>
        <v/>
      </c>
      <c r="AD84" s="29">
        <f>$AD$78 + $AD$81 + $AD$83</f>
        <v/>
      </c>
      <c r="AE84" s="29">
        <f>$AE$78 + $AE$81 + $AE$83</f>
        <v/>
      </c>
      <c r="AF84" s="29">
        <f>$AF$78 + $AF$81 + $AF$83</f>
        <v/>
      </c>
      <c r="AG84" s="29">
        <f>$AG$78 + $AG$81 + $AG$83</f>
        <v/>
      </c>
      <c r="AH84" s="29">
        <f>$AH$78 + $AH$81 + $AH$83</f>
        <v/>
      </c>
      <c r="AI84" s="29">
        <f>$AI$78 + $AI$81 + $AI$83</f>
        <v/>
      </c>
    </row>
    <row r="85" ht="6" customHeight="1"/>
    <row r="86">
      <c r="B86" s="26" t="inlineStr">
        <is>
          <t>Accounts Payable</t>
        </is>
      </c>
      <c r="Z86" s="27">
        <f>IFERROR(-($Z$44 + $Z$54) * 'Inputs'!$C$52 / 91.25, 0)</f>
        <v/>
      </c>
      <c r="AA86" s="27">
        <f>IFERROR(-($AA$44 + $AA$54) * 'Inputs'!$C$52 / 91.25, 0)</f>
        <v/>
      </c>
      <c r="AB86" s="27">
        <f>IFERROR(-($AB$44 + $AB$54) * 'Inputs'!$C$52 / 91.25, 0)</f>
        <v/>
      </c>
      <c r="AC86" s="27">
        <f>IFERROR(-($AC$44 + $AC$54) * 'Inputs'!$C$52 / 91.25, 0)</f>
        <v/>
      </c>
      <c r="AD86" s="27">
        <f>IFERROR(-($AD$44 + $AD$54) * 'Inputs'!$C$52 / 91.25, 0)</f>
        <v/>
      </c>
      <c r="AE86" s="27">
        <f>IFERROR(-($AE$44 + $AE$54) * 'Inputs'!$C$52 / 91.25, 0)</f>
        <v/>
      </c>
      <c r="AF86" s="27">
        <f>IFERROR(-($AF$44 + $AF$54) * 'Inputs'!$C$52 / 91.25, 0)</f>
        <v/>
      </c>
      <c r="AG86" s="27">
        <f>IFERROR(-($AG$44 + $AG$54) * 'Inputs'!$C$52 / 91.25, 0)</f>
        <v/>
      </c>
      <c r="AH86" s="27">
        <f>IFERROR(-($AH$44 + $AH$54) * 'Inputs'!$C$52 / 91.25, 0)</f>
        <v/>
      </c>
      <c r="AI86" s="27">
        <f>IFERROR(-($AI$44 + $AI$54) * 'Inputs'!$C$52 / 91.25, 0)</f>
        <v/>
      </c>
    </row>
    <row r="87">
      <c r="B87" s="38" t="inlineStr">
        <is>
          <t>Total Liabilities</t>
        </is>
      </c>
      <c r="C87" s="28" t="n"/>
      <c r="D87" s="28" t="n"/>
      <c r="E87" s="28" t="n"/>
      <c r="F87" s="28" t="n"/>
      <c r="G87" s="28" t="n"/>
      <c r="H87" s="28" t="n"/>
      <c r="I87" s="28" t="n"/>
      <c r="J87" s="28" t="n"/>
      <c r="K87" s="28" t="n"/>
      <c r="L87" s="28" t="n"/>
      <c r="M87" s="28" t="n"/>
      <c r="N87" s="28" t="n"/>
      <c r="O87" s="28" t="n"/>
      <c r="P87" s="28" t="n"/>
      <c r="Q87" s="28" t="n"/>
      <c r="R87" s="28" t="n"/>
      <c r="S87" s="28" t="n"/>
      <c r="T87" s="28" t="n"/>
      <c r="U87" s="28" t="n"/>
      <c r="V87" s="28" t="n"/>
      <c r="W87" s="28" t="n"/>
      <c r="X87" s="28" t="n"/>
      <c r="Y87" s="28" t="n"/>
      <c r="Z87" s="29">
        <f>$Z$86</f>
        <v/>
      </c>
      <c r="AA87" s="29">
        <f>$AA$86</f>
        <v/>
      </c>
      <c r="AB87" s="29">
        <f>$AB$86</f>
        <v/>
      </c>
      <c r="AC87" s="29">
        <f>$AC$86</f>
        <v/>
      </c>
      <c r="AD87" s="29">
        <f>$AD$86</f>
        <v/>
      </c>
      <c r="AE87" s="29">
        <f>$AE$86</f>
        <v/>
      </c>
      <c r="AF87" s="29">
        <f>$AF$86</f>
        <v/>
      </c>
      <c r="AG87" s="29">
        <f>$AG$86</f>
        <v/>
      </c>
      <c r="AH87" s="29">
        <f>$AH$86</f>
        <v/>
      </c>
      <c r="AI87" s="29">
        <f>$AI$86</f>
        <v/>
      </c>
    </row>
    <row r="88" ht="6" customHeight="1"/>
    <row r="89">
      <c r="B89" s="38" t="inlineStr">
        <is>
          <t>Total Equity</t>
        </is>
      </c>
      <c r="C89" s="28" t="n"/>
      <c r="D89" s="28" t="n"/>
      <c r="E89" s="28" t="n"/>
      <c r="F89" s="28" t="n"/>
      <c r="G89" s="28" t="n"/>
      <c r="H89" s="28" t="n"/>
      <c r="I89" s="28" t="n"/>
      <c r="J89" s="28" t="n"/>
      <c r="K89" s="28" t="n"/>
      <c r="L89" s="28" t="n"/>
      <c r="M89" s="28" t="n"/>
      <c r="N89" s="28" t="n"/>
      <c r="O89" s="28" t="n"/>
      <c r="P89" s="28" t="n"/>
      <c r="Q89" s="28" t="n"/>
      <c r="R89" s="28" t="n"/>
      <c r="S89" s="28" t="n"/>
      <c r="T89" s="28" t="n"/>
      <c r="U89" s="28" t="n"/>
      <c r="V89" s="28" t="n"/>
      <c r="W89" s="28" t="n"/>
      <c r="X89" s="28" t="n"/>
      <c r="Y89" s="28" t="n"/>
      <c r="Z89" s="29">
        <f>'Inputs'!$C$60 + $Z$62</f>
        <v/>
      </c>
      <c r="AA89" s="29">
        <f>$Z$89 + $AA$62</f>
        <v/>
      </c>
      <c r="AB89" s="29">
        <f>$AA$89 + $AB$62</f>
        <v/>
      </c>
      <c r="AC89" s="29">
        <f>$AB$89 + $AC$62</f>
        <v/>
      </c>
      <c r="AD89" s="29">
        <f>$AC$89 + $AD$62</f>
        <v/>
      </c>
      <c r="AE89" s="29">
        <f>$AD$89 + $AE$62</f>
        <v/>
      </c>
      <c r="AF89" s="29">
        <f>$AE$89 + $AF$62</f>
        <v/>
      </c>
      <c r="AG89" s="29">
        <f>$AF$89 + $AG$62</f>
        <v/>
      </c>
      <c r="AH89" s="29">
        <f>$AG$89 + $AH$62</f>
        <v/>
      </c>
      <c r="AI89" s="29">
        <f>$AH$89 + $AI$62</f>
        <v/>
      </c>
    </row>
    <row r="90" ht="6" customHeight="1"/>
    <row r="91">
      <c r="B91" s="28" t="inlineStr">
        <is>
          <t>Total Liabilities &amp; Equity</t>
        </is>
      </c>
      <c r="C91" s="28" t="n"/>
      <c r="D91" s="28" t="n"/>
      <c r="E91" s="28" t="n"/>
      <c r="F91" s="28" t="n"/>
      <c r="G91" s="28" t="n"/>
      <c r="H91" s="28" t="n"/>
      <c r="I91" s="28" t="n"/>
      <c r="J91" s="28" t="n"/>
      <c r="K91" s="28" t="n"/>
      <c r="L91" s="28" t="n"/>
      <c r="M91" s="28" t="n"/>
      <c r="N91" s="28" t="n"/>
      <c r="O91" s="28" t="n"/>
      <c r="P91" s="28" t="n"/>
      <c r="Q91" s="28" t="n"/>
      <c r="R91" s="28" t="n"/>
      <c r="S91" s="28" t="n"/>
      <c r="T91" s="28" t="n"/>
      <c r="U91" s="28" t="n"/>
      <c r="V91" s="28" t="n"/>
      <c r="W91" s="28" t="n"/>
      <c r="X91" s="28" t="n"/>
      <c r="Y91" s="28" t="n"/>
      <c r="Z91" s="29">
        <f>$Z$87 + $Z$89</f>
        <v/>
      </c>
      <c r="AA91" s="29">
        <f>$AA$87 + $AA$89</f>
        <v/>
      </c>
      <c r="AB91" s="29">
        <f>$AB$87 + $AB$89</f>
        <v/>
      </c>
      <c r="AC91" s="29">
        <f>$AC$87 + $AC$89</f>
        <v/>
      </c>
      <c r="AD91" s="29">
        <f>$AD$87 + $AD$89</f>
        <v/>
      </c>
      <c r="AE91" s="29">
        <f>$AE$87 + $AE$89</f>
        <v/>
      </c>
      <c r="AF91" s="29">
        <f>$AF$87 + $AF$89</f>
        <v/>
      </c>
      <c r="AG91" s="29">
        <f>$AG$87 + $AG$89</f>
        <v/>
      </c>
      <c r="AH91" s="29">
        <f>$AH$87 + $AH$89</f>
        <v/>
      </c>
      <c r="AI91" s="29">
        <f>$AI$87 + $AI$89</f>
        <v/>
      </c>
    </row>
    <row r="92" ht="6" customHeight="1"/>
    <row r="93">
      <c r="B93" s="41" t="inlineStr">
        <is>
          <t>Balance Check (A - L - E)</t>
        </is>
      </c>
      <c r="C93" s="41" t="n"/>
      <c r="Z93" s="43">
        <f>$Z$84 - $Z$91</f>
        <v/>
      </c>
      <c r="AA93" s="43">
        <f>$AA$84 - $AA$91</f>
        <v/>
      </c>
      <c r="AB93" s="43">
        <f>$AB$84 - $AB$91</f>
        <v/>
      </c>
      <c r="AC93" s="43">
        <f>$AC$84 - $AC$91</f>
        <v/>
      </c>
      <c r="AD93" s="43">
        <f>$AD$84 - $AD$91</f>
        <v/>
      </c>
      <c r="AE93" s="43">
        <f>$AE$84 - $AE$91</f>
        <v/>
      </c>
      <c r="AF93" s="43">
        <f>$AF$84 - $AF$91</f>
        <v/>
      </c>
      <c r="AG93" s="43">
        <f>$AG$84 - $AG$91</f>
        <v/>
      </c>
      <c r="AH93" s="43">
        <f>$AH$84 - $AH$91</f>
        <v/>
      </c>
      <c r="AI93" s="43">
        <f>$AI$84 - $AI$91</f>
        <v/>
      </c>
    </row>
  </sheetData>
  <hyperlinks>
    <hyperlink xmlns:r="http://schemas.openxmlformats.org/officeDocument/2006/relationships" ref="B3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T7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45" customWidth="1" min="3" max="3"/>
    <col width="45" customWidth="1" min="4" max="4"/>
    <col width="14" customWidth="1" min="5" max="5"/>
  </cols>
  <sheetData>
    <row r="1" ht="6" customHeight="1"/>
    <row r="2">
      <c r="B2" s="1" t="inlineStr">
        <is>
          <t>Acme Corp Operating Plan Tests</t>
        </is>
      </c>
    </row>
    <row r="3">
      <c r="B3" s="4" t="inlineStr">
        <is>
          <t>Link to Cover</t>
        </is>
      </c>
    </row>
    <row r="4">
      <c r="A4" s="7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</row>
    <row r="5" ht="6" customHeight="1"/>
    <row r="6" ht="18" customHeight="1">
      <c r="B6" s="14" t="inlineStr">
        <is>
          <t>Test</t>
        </is>
      </c>
      <c r="C6" s="14" t="inlineStr">
        <is>
          <t>Description</t>
        </is>
      </c>
      <c r="D6" s="14" t="inlineStr">
        <is>
          <t>Condition</t>
        </is>
      </c>
      <c r="E6" s="14" t="inlineStr">
        <is>
          <t>Result</t>
        </is>
      </c>
    </row>
    <row r="7">
      <c r="B7" t="inlineStr">
        <is>
          <t>Balance sheet balances (2026-Q3)</t>
        </is>
      </c>
      <c r="D7">
        <f>AND('Model'!$Z$93&gt;=-1,'Model'!$Z$93&lt;=1)</f>
        <v/>
      </c>
      <c r="E7">
        <f>IF(D7, "PASS", "FAIL")</f>
        <v/>
      </c>
    </row>
    <row r="8">
      <c r="B8" t="inlineStr">
        <is>
          <t>Balance sheet balances (2026-Q4)</t>
        </is>
      </c>
      <c r="D8">
        <f>AND('Model'!$AA$93&gt;=-1,'Model'!$AA$93&lt;=1)</f>
        <v/>
      </c>
      <c r="E8">
        <f>IF(D8, "PASS", "FAIL")</f>
        <v/>
      </c>
    </row>
    <row r="9">
      <c r="B9" t="inlineStr">
        <is>
          <t>Balance sheet balances (2027-Q1)</t>
        </is>
      </c>
      <c r="D9">
        <f>AND('Model'!$AB$93&gt;=-1,'Model'!$AB$93&lt;=1)</f>
        <v/>
      </c>
      <c r="E9">
        <f>IF(D9, "PASS", "FAIL")</f>
        <v/>
      </c>
    </row>
    <row r="10">
      <c r="B10" t="inlineStr">
        <is>
          <t>Balance sheet balances (2027-Q2)</t>
        </is>
      </c>
      <c r="D10">
        <f>AND('Model'!$AC$93&gt;=-1,'Model'!$AC$93&lt;=1)</f>
        <v/>
      </c>
      <c r="E10">
        <f>IF(D10, "PASS", "FAIL")</f>
        <v/>
      </c>
    </row>
    <row r="11">
      <c r="B11" t="inlineStr">
        <is>
          <t>Balance sheet balances (2027-Q3)</t>
        </is>
      </c>
      <c r="D11">
        <f>AND('Model'!$AD$93&gt;=-1,'Model'!$AD$93&lt;=1)</f>
        <v/>
      </c>
      <c r="E11">
        <f>IF(D11, "PASS", "FAIL")</f>
        <v/>
      </c>
    </row>
    <row r="12">
      <c r="B12" t="inlineStr">
        <is>
          <t>Balance sheet balances (2027-Q4)</t>
        </is>
      </c>
      <c r="D12">
        <f>AND('Model'!$AE$93&gt;=-1,'Model'!$AE$93&lt;=1)</f>
        <v/>
      </c>
      <c r="E12">
        <f>IF(D12, "PASS", "FAIL")</f>
        <v/>
      </c>
    </row>
    <row r="13">
      <c r="B13" t="inlineStr">
        <is>
          <t>Balance sheet balances (2028-Q1)</t>
        </is>
      </c>
      <c r="D13">
        <f>AND('Model'!$AF$93&gt;=-1,'Model'!$AF$93&lt;=1)</f>
        <v/>
      </c>
      <c r="E13">
        <f>IF(D13, "PASS", "FAIL")</f>
        <v/>
      </c>
    </row>
    <row r="14">
      <c r="B14" t="inlineStr">
        <is>
          <t>Balance sheet balances (2028-Q2)</t>
        </is>
      </c>
      <c r="D14">
        <f>AND('Model'!$AG$93&gt;=-1,'Model'!$AG$93&lt;=1)</f>
        <v/>
      </c>
      <c r="E14">
        <f>IF(D14, "PASS", "FAIL")</f>
        <v/>
      </c>
    </row>
    <row r="15">
      <c r="B15" t="inlineStr">
        <is>
          <t>Balance sheet balances (2028-Q3)</t>
        </is>
      </c>
      <c r="D15">
        <f>AND('Model'!$AH$93&gt;=-1,'Model'!$AH$93&lt;=1)</f>
        <v/>
      </c>
      <c r="E15">
        <f>IF(D15, "PASS", "FAIL")</f>
        <v/>
      </c>
    </row>
    <row r="16">
      <c r="B16" t="inlineStr">
        <is>
          <t>Balance sheet balances (2028-Q4)</t>
        </is>
      </c>
      <c r="D16">
        <f>AND('Model'!$AI$93&gt;=-1,'Model'!$AI$93&lt;=1)</f>
        <v/>
      </c>
      <c r="E16">
        <f>IF(D16, "PASS", "FAIL")</f>
        <v/>
      </c>
    </row>
    <row r="17">
      <c r="B17" t="inlineStr">
        <is>
          <t>Blended gross margin at or above target (2026-Q3)</t>
        </is>
      </c>
      <c r="D17">
        <f>AND('Model'!$Z$48&gt;=0.48700000000000004,'Model'!$Z$48&lt;=1.0)</f>
        <v/>
      </c>
      <c r="E17">
        <f>IF(D17, "PASS", "FAIL")</f>
        <v/>
      </c>
    </row>
    <row r="18">
      <c r="B18" t="inlineStr">
        <is>
          <t>Blended gross margin at or above target (2026-Q4)</t>
        </is>
      </c>
      <c r="D18">
        <f>AND('Model'!$AA$48&gt;=0.48700000000000004,'Model'!$AA$48&lt;=1.0)</f>
        <v/>
      </c>
      <c r="E18">
        <f>IF(D18, "PASS", "FAIL")</f>
        <v/>
      </c>
    </row>
    <row r="19">
      <c r="B19" t="inlineStr">
        <is>
          <t>Blended gross margin at or above target (2027-Q1)</t>
        </is>
      </c>
      <c r="D19">
        <f>AND('Model'!$AB$48&gt;=0.48700000000000004,'Model'!$AB$48&lt;=1.0)</f>
        <v/>
      </c>
      <c r="E19">
        <f>IF(D19, "PASS", "FAIL")</f>
        <v/>
      </c>
    </row>
    <row r="20">
      <c r="B20" t="inlineStr">
        <is>
          <t>Blended gross margin at or above target (2027-Q2)</t>
        </is>
      </c>
      <c r="D20">
        <f>AND('Model'!$AC$48&gt;=0.48700000000000004,'Model'!$AC$48&lt;=1.0)</f>
        <v/>
      </c>
      <c r="E20">
        <f>IF(D20, "PASS", "FAIL")</f>
        <v/>
      </c>
    </row>
    <row r="21">
      <c r="B21" t="inlineStr">
        <is>
          <t>Blended gross margin at or above target (2027-Q3)</t>
        </is>
      </c>
      <c r="D21">
        <f>AND('Model'!$AD$48&gt;=0.48700000000000004,'Model'!$AD$48&lt;=1.0)</f>
        <v/>
      </c>
      <c r="E21">
        <f>IF(D21, "PASS", "FAIL")</f>
        <v/>
      </c>
    </row>
    <row r="22">
      <c r="B22" t="inlineStr">
        <is>
          <t>Blended gross margin at or above target (2027-Q4)</t>
        </is>
      </c>
      <c r="D22">
        <f>AND('Model'!$AE$48&gt;=0.48700000000000004,'Model'!$AE$48&lt;=1.0)</f>
        <v/>
      </c>
      <c r="E22">
        <f>IF(D22, "PASS", "FAIL")</f>
        <v/>
      </c>
    </row>
    <row r="23">
      <c r="B23" t="inlineStr">
        <is>
          <t>Blended gross margin at or above target (2028-Q1)</t>
        </is>
      </c>
      <c r="D23">
        <f>AND('Model'!$AF$48&gt;=0.48700000000000004,'Model'!$AF$48&lt;=1.0)</f>
        <v/>
      </c>
      <c r="E23">
        <f>IF(D23, "PASS", "FAIL")</f>
        <v/>
      </c>
    </row>
    <row r="24">
      <c r="B24" t="inlineStr">
        <is>
          <t>Blended gross margin at or above target (2028-Q2)</t>
        </is>
      </c>
      <c r="D24">
        <f>AND('Model'!$AG$48&gt;=0.48700000000000004,'Model'!$AG$48&lt;=1.0)</f>
        <v/>
      </c>
      <c r="E24">
        <f>IF(D24, "PASS", "FAIL")</f>
        <v/>
      </c>
    </row>
    <row r="25">
      <c r="B25" t="inlineStr">
        <is>
          <t>Blended gross margin at or above target (2028-Q3)</t>
        </is>
      </c>
      <c r="D25">
        <f>AND('Model'!$AH$48&gt;=0.48700000000000004,'Model'!$AH$48&lt;=1.0)</f>
        <v/>
      </c>
      <c r="E25">
        <f>IF(D25, "PASS", "FAIL")</f>
        <v/>
      </c>
    </row>
    <row r="26">
      <c r="B26" t="inlineStr">
        <is>
          <t>Blended gross margin at or above target (2028-Q4)</t>
        </is>
      </c>
      <c r="D26">
        <f>AND('Model'!$AI$48&gt;=0.48700000000000004,'Model'!$AI$48&lt;=1.0)</f>
        <v/>
      </c>
      <c r="E26">
        <f>IF(D26, "PASS", "FAIL")</f>
        <v/>
      </c>
    </row>
    <row r="27">
      <c r="B27" t="inlineStr">
        <is>
          <t>Implied fixed-price gross margin between 0% and 100% (2026-Q3)</t>
        </is>
      </c>
      <c r="D27">
        <f>AND('Model'!$Z$41&gt;=0.0,'Model'!$Z$41&lt;=1.0)</f>
        <v/>
      </c>
      <c r="E27">
        <f>IF(D27, "PASS", "FAIL")</f>
        <v/>
      </c>
    </row>
    <row r="28">
      <c r="B28" t="inlineStr">
        <is>
          <t>Implied fixed-price gross margin between 0% and 100% (2026-Q4)</t>
        </is>
      </c>
      <c r="D28">
        <f>AND('Model'!$AA$41&gt;=0.0,'Model'!$AA$41&lt;=1.0)</f>
        <v/>
      </c>
      <c r="E28">
        <f>IF(D28, "PASS", "FAIL")</f>
        <v/>
      </c>
    </row>
    <row r="29">
      <c r="B29" t="inlineStr">
        <is>
          <t>Implied fixed-price gross margin between 0% and 100% (2027-Q1)</t>
        </is>
      </c>
      <c r="D29">
        <f>AND('Model'!$AB$41&gt;=0.0,'Model'!$AB$41&lt;=1.0)</f>
        <v/>
      </c>
      <c r="E29">
        <f>IF(D29, "PASS", "FAIL")</f>
        <v/>
      </c>
    </row>
    <row r="30">
      <c r="B30" t="inlineStr">
        <is>
          <t>Implied fixed-price gross margin between 0% and 100% (2027-Q2)</t>
        </is>
      </c>
      <c r="D30">
        <f>AND('Model'!$AC$41&gt;=0.0,'Model'!$AC$41&lt;=1.0)</f>
        <v/>
      </c>
      <c r="E30">
        <f>IF(D30, "PASS", "FAIL")</f>
        <v/>
      </c>
    </row>
    <row r="31">
      <c r="B31" t="inlineStr">
        <is>
          <t>Implied fixed-price gross margin between 0% and 100% (2027-Q3)</t>
        </is>
      </c>
      <c r="D31">
        <f>AND('Model'!$AD$41&gt;=0.0,'Model'!$AD$41&lt;=1.0)</f>
        <v/>
      </c>
      <c r="E31">
        <f>IF(D31, "PASS", "FAIL")</f>
        <v/>
      </c>
    </row>
    <row r="32">
      <c r="B32" t="inlineStr">
        <is>
          <t>Implied fixed-price gross margin between 0% and 100% (2027-Q4)</t>
        </is>
      </c>
      <c r="D32">
        <f>AND('Model'!$AE$41&gt;=0.0,'Model'!$AE$41&lt;=1.0)</f>
        <v/>
      </c>
      <c r="E32">
        <f>IF(D32, "PASS", "FAIL")</f>
        <v/>
      </c>
    </row>
    <row r="33">
      <c r="B33" t="inlineStr">
        <is>
          <t>Implied fixed-price gross margin between 0% and 100% (2028-Q1)</t>
        </is>
      </c>
      <c r="D33">
        <f>AND('Model'!$AF$41&gt;=0.0,'Model'!$AF$41&lt;=1.0)</f>
        <v/>
      </c>
      <c r="E33">
        <f>IF(D33, "PASS", "FAIL")</f>
        <v/>
      </c>
    </row>
    <row r="34">
      <c r="B34" t="inlineStr">
        <is>
          <t>Implied fixed-price gross margin between 0% and 100% (2028-Q2)</t>
        </is>
      </c>
      <c r="D34">
        <f>AND('Model'!$AG$41&gt;=0.0,'Model'!$AG$41&lt;=1.0)</f>
        <v/>
      </c>
      <c r="E34">
        <f>IF(D34, "PASS", "FAIL")</f>
        <v/>
      </c>
    </row>
    <row r="35">
      <c r="B35" t="inlineStr">
        <is>
          <t>Implied fixed-price gross margin between 0% and 100% (2028-Q3)</t>
        </is>
      </c>
      <c r="D35">
        <f>AND('Model'!$AH$41&gt;=0.0,'Model'!$AH$41&lt;=1.0)</f>
        <v/>
      </c>
      <c r="E35">
        <f>IF(D35, "PASS", "FAIL")</f>
        <v/>
      </c>
    </row>
    <row r="36">
      <c r="B36" t="inlineStr">
        <is>
          <t>Implied fixed-price gross margin between 0% and 100% (2028-Q4)</t>
        </is>
      </c>
      <c r="D36">
        <f>AND('Model'!$AI$41&gt;=0.0,'Model'!$AI$41&lt;=1.0)</f>
        <v/>
      </c>
      <c r="E36">
        <f>IF(D36, "PASS", "FAIL")</f>
        <v/>
      </c>
    </row>
    <row r="37">
      <c r="B37" t="inlineStr">
        <is>
          <t>Implied fixed-price gross margin at or above the floor (2026-Q3)</t>
        </is>
      </c>
      <c r="D37">
        <f>AND('Model'!$Z$41&gt;=0.199999,'Model'!$Z$41&lt;=1.0)</f>
        <v/>
      </c>
      <c r="E37">
        <f>IF(D37, "PASS", "FAIL")</f>
        <v/>
      </c>
    </row>
    <row r="38">
      <c r="B38" t="inlineStr">
        <is>
          <t>Implied fixed-price gross margin at or above the floor (2026-Q4)</t>
        </is>
      </c>
      <c r="D38">
        <f>AND('Model'!$AA$41&gt;=0.199999,'Model'!$AA$41&lt;=1.0)</f>
        <v/>
      </c>
      <c r="E38">
        <f>IF(D38, "PASS", "FAIL")</f>
        <v/>
      </c>
    </row>
    <row r="39">
      <c r="B39" t="inlineStr">
        <is>
          <t>Implied fixed-price gross margin at or above the floor (2027-Q1)</t>
        </is>
      </c>
      <c r="D39">
        <f>AND('Model'!$AB$41&gt;=0.199999,'Model'!$AB$41&lt;=1.0)</f>
        <v/>
      </c>
      <c r="E39">
        <f>IF(D39, "PASS", "FAIL")</f>
        <v/>
      </c>
    </row>
    <row r="40">
      <c r="B40" t="inlineStr">
        <is>
          <t>Implied fixed-price gross margin at or above the floor (2027-Q2)</t>
        </is>
      </c>
      <c r="D40">
        <f>AND('Model'!$AC$41&gt;=0.199999,'Model'!$AC$41&lt;=1.0)</f>
        <v/>
      </c>
      <c r="E40">
        <f>IF(D40, "PASS", "FAIL")</f>
        <v/>
      </c>
    </row>
    <row r="41">
      <c r="B41" t="inlineStr">
        <is>
          <t>Implied fixed-price gross margin at or above the floor (2027-Q3)</t>
        </is>
      </c>
      <c r="D41">
        <f>AND('Model'!$AD$41&gt;=0.199999,'Model'!$AD$41&lt;=1.0)</f>
        <v/>
      </c>
      <c r="E41">
        <f>IF(D41, "PASS", "FAIL")</f>
        <v/>
      </c>
    </row>
    <row r="42">
      <c r="B42" t="inlineStr">
        <is>
          <t>Implied fixed-price gross margin at or above the floor (2027-Q4)</t>
        </is>
      </c>
      <c r="D42">
        <f>AND('Model'!$AE$41&gt;=0.199999,'Model'!$AE$41&lt;=1.0)</f>
        <v/>
      </c>
      <c r="E42">
        <f>IF(D42, "PASS", "FAIL")</f>
        <v/>
      </c>
    </row>
    <row r="43">
      <c r="B43" t="inlineStr">
        <is>
          <t>Implied fixed-price gross margin at or above the floor (2028-Q1)</t>
        </is>
      </c>
      <c r="D43">
        <f>AND('Model'!$AF$41&gt;=0.199999,'Model'!$AF$41&lt;=1.0)</f>
        <v/>
      </c>
      <c r="E43">
        <f>IF(D43, "PASS", "FAIL")</f>
        <v/>
      </c>
    </row>
    <row r="44">
      <c r="B44" t="inlineStr">
        <is>
          <t>Implied fixed-price gross margin at or above the floor (2028-Q2)</t>
        </is>
      </c>
      <c r="D44">
        <f>AND('Model'!$AG$41&gt;=0.199999,'Model'!$AG$41&lt;=1.0)</f>
        <v/>
      </c>
      <c r="E44">
        <f>IF(D44, "PASS", "FAIL")</f>
        <v/>
      </c>
    </row>
    <row r="45">
      <c r="B45" t="inlineStr">
        <is>
          <t>Implied fixed-price gross margin at or above the floor (2028-Q3)</t>
        </is>
      </c>
      <c r="D45">
        <f>AND('Model'!$AH$41&gt;=0.199999,'Model'!$AH$41&lt;=1.0)</f>
        <v/>
      </c>
      <c r="E45">
        <f>IF(D45, "PASS", "FAIL")</f>
        <v/>
      </c>
    </row>
    <row r="46">
      <c r="B46" t="inlineStr">
        <is>
          <t>Implied fixed-price gross margin at or above the floor (2028-Q4)</t>
        </is>
      </c>
      <c r="D46">
        <f>AND('Model'!$AI$41&gt;=0.199999,'Model'!$AI$41&lt;=1.0)</f>
        <v/>
      </c>
      <c r="E46">
        <f>IF(D46, "PASS", "FAIL")</f>
        <v/>
      </c>
    </row>
    <row r="47">
      <c r="B47" t="inlineStr">
        <is>
          <t>Revenue positive and plausible (2026-Q3)</t>
        </is>
      </c>
      <c r="D47">
        <f>AND('Model'!$Z$31&gt;=0,'Model'!$Z$31&lt;=20000000)</f>
        <v/>
      </c>
      <c r="E47">
        <f>IF(D47, "PASS", "FAIL")</f>
        <v/>
      </c>
    </row>
    <row r="48">
      <c r="B48" t="inlineStr">
        <is>
          <t>Revenue positive and plausible (2026-Q4)</t>
        </is>
      </c>
      <c r="D48">
        <f>AND('Model'!$AA$31&gt;=0,'Model'!$AA$31&lt;=20000000)</f>
        <v/>
      </c>
      <c r="E48">
        <f>IF(D48, "PASS", "FAIL")</f>
        <v/>
      </c>
    </row>
    <row r="49">
      <c r="B49" t="inlineStr">
        <is>
          <t>Revenue positive and plausible (2027-Q1)</t>
        </is>
      </c>
      <c r="D49">
        <f>AND('Model'!$AB$31&gt;=0,'Model'!$AB$31&lt;=20000000)</f>
        <v/>
      </c>
      <c r="E49">
        <f>IF(D49, "PASS", "FAIL")</f>
        <v/>
      </c>
    </row>
    <row r="50">
      <c r="B50" t="inlineStr">
        <is>
          <t>Revenue positive and plausible (2027-Q2)</t>
        </is>
      </c>
      <c r="D50">
        <f>AND('Model'!$AC$31&gt;=0,'Model'!$AC$31&lt;=20000000)</f>
        <v/>
      </c>
      <c r="E50">
        <f>IF(D50, "PASS", "FAIL")</f>
        <v/>
      </c>
    </row>
    <row r="51">
      <c r="B51" t="inlineStr">
        <is>
          <t>Revenue positive and plausible (2027-Q3)</t>
        </is>
      </c>
      <c r="D51">
        <f>AND('Model'!$AD$31&gt;=0,'Model'!$AD$31&lt;=20000000)</f>
        <v/>
      </c>
      <c r="E51">
        <f>IF(D51, "PASS", "FAIL")</f>
        <v/>
      </c>
    </row>
    <row r="52">
      <c r="B52" t="inlineStr">
        <is>
          <t>Revenue positive and plausible (2027-Q4)</t>
        </is>
      </c>
      <c r="D52">
        <f>AND('Model'!$AE$31&gt;=0,'Model'!$AE$31&lt;=20000000)</f>
        <v/>
      </c>
      <c r="E52">
        <f>IF(D52, "PASS", "FAIL")</f>
        <v/>
      </c>
    </row>
    <row r="53">
      <c r="B53" t="inlineStr">
        <is>
          <t>Revenue positive and plausible (2028-Q1)</t>
        </is>
      </c>
      <c r="D53">
        <f>AND('Model'!$AF$31&gt;=0,'Model'!$AF$31&lt;=20000000)</f>
        <v/>
      </c>
      <c r="E53">
        <f>IF(D53, "PASS", "FAIL")</f>
        <v/>
      </c>
    </row>
    <row r="54">
      <c r="B54" t="inlineStr">
        <is>
          <t>Revenue positive and plausible (2028-Q2)</t>
        </is>
      </c>
      <c r="D54">
        <f>AND('Model'!$AG$31&gt;=0,'Model'!$AG$31&lt;=20000000)</f>
        <v/>
      </c>
      <c r="E54">
        <f>IF(D54, "PASS", "FAIL")</f>
        <v/>
      </c>
    </row>
    <row r="55">
      <c r="B55" t="inlineStr">
        <is>
          <t>Revenue positive and plausible (2028-Q3)</t>
        </is>
      </c>
      <c r="D55">
        <f>AND('Model'!$AH$31&gt;=0,'Model'!$AH$31&lt;=20000000)</f>
        <v/>
      </c>
      <c r="E55">
        <f>IF(D55, "PASS", "FAIL")</f>
        <v/>
      </c>
    </row>
    <row r="56">
      <c r="B56" t="inlineStr">
        <is>
          <t>Revenue positive and plausible (2028-Q4)</t>
        </is>
      </c>
      <c r="D56">
        <f>AND('Model'!$AI$31&gt;=0,'Model'!$AI$31&lt;=20000000)</f>
        <v/>
      </c>
      <c r="E56">
        <f>IF(D56, "PASS", "FAIL")</f>
        <v/>
      </c>
    </row>
    <row r="57">
      <c r="B57" t="inlineStr">
        <is>
          <t>T&amp;M share of revenue between 60% and 100% (2026-Q3)</t>
        </is>
      </c>
      <c r="D57">
        <f>AND('Model'!$Z$24&gt;=0.6,'Model'!$Z$24&lt;=1.0)</f>
        <v/>
      </c>
      <c r="E57">
        <f>IF(D57, "PASS", "FAIL")</f>
        <v/>
      </c>
    </row>
    <row r="58">
      <c r="B58" t="inlineStr">
        <is>
          <t>T&amp;M share of revenue between 60% and 100% (2026-Q4)</t>
        </is>
      </c>
      <c r="D58">
        <f>AND('Model'!$AA$24&gt;=0.6,'Model'!$AA$24&lt;=1.0)</f>
        <v/>
      </c>
      <c r="E58">
        <f>IF(D58, "PASS", "FAIL")</f>
        <v/>
      </c>
    </row>
    <row r="59">
      <c r="B59" t="inlineStr">
        <is>
          <t>T&amp;M share of revenue between 60% and 100% (2027-Q1)</t>
        </is>
      </c>
      <c r="D59">
        <f>AND('Model'!$AB$24&gt;=0.6,'Model'!$AB$24&lt;=1.0)</f>
        <v/>
      </c>
      <c r="E59">
        <f>IF(D59, "PASS", "FAIL")</f>
        <v/>
      </c>
    </row>
    <row r="60">
      <c r="B60" t="inlineStr">
        <is>
          <t>T&amp;M share of revenue between 60% and 100% (2027-Q2)</t>
        </is>
      </c>
      <c r="D60">
        <f>AND('Model'!$AC$24&gt;=0.6,'Model'!$AC$24&lt;=1.0)</f>
        <v/>
      </c>
      <c r="E60">
        <f>IF(D60, "PASS", "FAIL")</f>
        <v/>
      </c>
    </row>
    <row r="61">
      <c r="B61" t="inlineStr">
        <is>
          <t>T&amp;M share of revenue between 60% and 100% (2027-Q3)</t>
        </is>
      </c>
      <c r="D61">
        <f>AND('Model'!$AD$24&gt;=0.6,'Model'!$AD$24&lt;=1.0)</f>
        <v/>
      </c>
      <c r="E61">
        <f>IF(D61, "PASS", "FAIL")</f>
        <v/>
      </c>
    </row>
    <row r="62">
      <c r="B62" t="inlineStr">
        <is>
          <t>T&amp;M share of revenue between 60% and 100% (2027-Q4)</t>
        </is>
      </c>
      <c r="D62">
        <f>AND('Model'!$AE$24&gt;=0.6,'Model'!$AE$24&lt;=1.0)</f>
        <v/>
      </c>
      <c r="E62">
        <f>IF(D62, "PASS", "FAIL")</f>
        <v/>
      </c>
    </row>
    <row r="63">
      <c r="B63" t="inlineStr">
        <is>
          <t>T&amp;M share of revenue between 60% and 100% (2028-Q1)</t>
        </is>
      </c>
      <c r="D63">
        <f>AND('Model'!$AF$24&gt;=0.6,'Model'!$AF$24&lt;=1.0)</f>
        <v/>
      </c>
      <c r="E63">
        <f>IF(D63, "PASS", "FAIL")</f>
        <v/>
      </c>
    </row>
    <row r="64">
      <c r="B64" t="inlineStr">
        <is>
          <t>T&amp;M share of revenue between 60% and 100% (2028-Q2)</t>
        </is>
      </c>
      <c r="D64">
        <f>AND('Model'!$AG$24&gt;=0.6,'Model'!$AG$24&lt;=1.0)</f>
        <v/>
      </c>
      <c r="E64">
        <f>IF(D64, "PASS", "FAIL")</f>
        <v/>
      </c>
    </row>
    <row r="65">
      <c r="B65" t="inlineStr">
        <is>
          <t>T&amp;M share of revenue between 60% and 100% (2028-Q3)</t>
        </is>
      </c>
      <c r="D65">
        <f>AND('Model'!$AH$24&gt;=0.6,'Model'!$AH$24&lt;=1.0)</f>
        <v/>
      </c>
      <c r="E65">
        <f>IF(D65, "PASS", "FAIL")</f>
        <v/>
      </c>
    </row>
    <row r="66">
      <c r="B66" t="inlineStr">
        <is>
          <t>T&amp;M share of revenue between 60% and 100% (2028-Q4)</t>
        </is>
      </c>
      <c r="D66">
        <f>AND('Model'!$AI$24&gt;=0.6,'Model'!$AI$24&lt;=1.0)</f>
        <v/>
      </c>
      <c r="E66">
        <f>IF(D66, "PASS", "FAIL")</f>
        <v/>
      </c>
    </row>
    <row r="67">
      <c r="B67" t="inlineStr">
        <is>
          <t>Ending cash stays positive (2026-Q3)</t>
        </is>
      </c>
      <c r="D67">
        <f>AND('Model'!$Z$78&gt;=0,'Model'!$Z$78&lt;=100000000)</f>
        <v/>
      </c>
      <c r="E67">
        <f>IF(D67, "PASS", "FAIL")</f>
        <v/>
      </c>
    </row>
    <row r="68">
      <c r="B68" t="inlineStr">
        <is>
          <t>Ending cash stays positive (2026-Q4)</t>
        </is>
      </c>
      <c r="D68">
        <f>AND('Model'!$AA$78&gt;=0,'Model'!$AA$78&lt;=100000000)</f>
        <v/>
      </c>
      <c r="E68">
        <f>IF(D68, "PASS", "FAIL")</f>
        <v/>
      </c>
    </row>
    <row r="69">
      <c r="B69" t="inlineStr">
        <is>
          <t>Ending cash stays positive (2027-Q1)</t>
        </is>
      </c>
      <c r="D69">
        <f>AND('Model'!$AB$78&gt;=0,'Model'!$AB$78&lt;=100000000)</f>
        <v/>
      </c>
      <c r="E69">
        <f>IF(D69, "PASS", "FAIL")</f>
        <v/>
      </c>
    </row>
    <row r="70">
      <c r="B70" t="inlineStr">
        <is>
          <t>Ending cash stays positive (2027-Q2)</t>
        </is>
      </c>
      <c r="D70">
        <f>AND('Model'!$AC$78&gt;=0,'Model'!$AC$78&lt;=100000000)</f>
        <v/>
      </c>
      <c r="E70">
        <f>IF(D70, "PASS", "FAIL")</f>
        <v/>
      </c>
    </row>
    <row r="71">
      <c r="B71" t="inlineStr">
        <is>
          <t>Ending cash stays positive (2027-Q3)</t>
        </is>
      </c>
      <c r="D71">
        <f>AND('Model'!$AD$78&gt;=0,'Model'!$AD$78&lt;=100000000)</f>
        <v/>
      </c>
      <c r="E71">
        <f>IF(D71, "PASS", "FAIL")</f>
        <v/>
      </c>
    </row>
    <row r="72">
      <c r="B72" t="inlineStr">
        <is>
          <t>Ending cash stays positive (2027-Q4)</t>
        </is>
      </c>
      <c r="D72">
        <f>AND('Model'!$AE$78&gt;=0,'Model'!$AE$78&lt;=100000000)</f>
        <v/>
      </c>
      <c r="E72">
        <f>IF(D72, "PASS", "FAIL")</f>
        <v/>
      </c>
    </row>
    <row r="73">
      <c r="B73" t="inlineStr">
        <is>
          <t>Ending cash stays positive (2028-Q1)</t>
        </is>
      </c>
      <c r="D73">
        <f>AND('Model'!$AF$78&gt;=0,'Model'!$AF$78&lt;=100000000)</f>
        <v/>
      </c>
      <c r="E73">
        <f>IF(D73, "PASS", "FAIL")</f>
        <v/>
      </c>
    </row>
    <row r="74">
      <c r="B74" t="inlineStr">
        <is>
          <t>Ending cash stays positive (2028-Q2)</t>
        </is>
      </c>
      <c r="D74">
        <f>AND('Model'!$AG$78&gt;=0,'Model'!$AG$78&lt;=100000000)</f>
        <v/>
      </c>
      <c r="E74">
        <f>IF(D74, "PASS", "FAIL")</f>
        <v/>
      </c>
    </row>
    <row r="75">
      <c r="B75" t="inlineStr">
        <is>
          <t>Ending cash stays positive (2028-Q3)</t>
        </is>
      </c>
      <c r="D75">
        <f>AND('Model'!$AH$78&gt;=0,'Model'!$AH$78&lt;=100000000)</f>
        <v/>
      </c>
      <c r="E75">
        <f>IF(D75, "PASS", "FAIL")</f>
        <v/>
      </c>
    </row>
    <row r="76">
      <c r="B76" t="inlineStr">
        <is>
          <t>Ending cash stays positive (2028-Q4)</t>
        </is>
      </c>
      <c r="D76">
        <f>AND('Model'!$AI$78&gt;=0,'Model'!$AI$78&lt;=100000000)</f>
        <v/>
      </c>
      <c r="E76">
        <f>IF(D76, "PASS", "FAIL")</f>
        <v/>
      </c>
    </row>
  </sheetData>
  <hyperlinks>
    <hyperlink xmlns:r="http://schemas.openxmlformats.org/officeDocument/2006/relationships" ref="B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2026-08-24T12:23:34Z</dcterms:created>
  <dcterms:modified xmlns:dcterms="http://purl.org/dc/terms/" xmlns:xsi="http://www.w3.org/2001/XMLSchema-instance" xsi:type="dcterms:W3CDTF">2026-08-24T12:23:35Z</dcterms:modified>
</cp:coreProperties>
</file>